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ALTIMA\GOTOWE\Gotowe_PKM Jaworzno_prognoza finansowa_kredyt\"/>
    </mc:Choice>
  </mc:AlternateContent>
  <bookViews>
    <workbookView xWindow="2232" yWindow="336" windowWidth="19440" windowHeight="7716" tabRatio="984" activeTab="5"/>
  </bookViews>
  <sheets>
    <sheet name="Założenia" sheetId="27" r:id="rId1"/>
    <sheet name="Obliczenia" sheetId="29" r:id="rId2"/>
    <sheet name="Założenia_kredyty" sheetId="33" r:id="rId3"/>
    <sheet name="Obliczenia_kredyty" sheetId="34" r:id="rId4"/>
    <sheet name="Wyniki_kredyty" sheetId="35" r:id="rId5"/>
    <sheet name="Wyniki" sheetId="23" r:id="rId6"/>
  </sheets>
  <definedNames>
    <definedName name="N">#REF!</definedName>
    <definedName name="rd">#REF!</definedName>
    <definedName name="rp">#REF!</definedName>
    <definedName name="rr">#REF!</definedName>
    <definedName name="S">#REF!</definedName>
    <definedName name="Tk">#REF!</definedName>
    <definedName name="To">#REF!</definedName>
  </definedNames>
  <calcPr calcId="162913"/>
</workbook>
</file>

<file path=xl/calcChain.xml><?xml version="1.0" encoding="utf-8"?>
<calcChain xmlns="http://schemas.openxmlformats.org/spreadsheetml/2006/main">
  <c r="L11" i="23" l="1"/>
  <c r="M11" i="23"/>
  <c r="N11" i="23"/>
  <c r="O11" i="23"/>
  <c r="P11" i="23"/>
  <c r="Q11" i="23"/>
  <c r="R11" i="23"/>
  <c r="S11" i="23"/>
  <c r="T11" i="23"/>
  <c r="I11" i="23"/>
  <c r="J11" i="23"/>
  <c r="K11" i="23"/>
  <c r="K94" i="23"/>
  <c r="L94" i="23"/>
  <c r="M94" i="23"/>
  <c r="N94" i="23"/>
  <c r="O94" i="23"/>
  <c r="P94" i="23"/>
  <c r="Q94" i="23"/>
  <c r="R94" i="23"/>
  <c r="S94" i="23"/>
  <c r="T94" i="23"/>
  <c r="M68" i="23"/>
  <c r="N68" i="23"/>
  <c r="O68" i="23"/>
  <c r="P68" i="23"/>
  <c r="Q68" i="23"/>
  <c r="R68" i="23"/>
  <c r="S68" i="23"/>
  <c r="T68" i="23"/>
  <c r="L68" i="23"/>
  <c r="K68" i="23"/>
  <c r="J68" i="23" l="1"/>
  <c r="I68" i="23"/>
  <c r="L66" i="23"/>
  <c r="M66" i="23"/>
  <c r="N66" i="23"/>
  <c r="O66" i="23"/>
  <c r="P66" i="23"/>
  <c r="Q66" i="23"/>
  <c r="R66" i="23"/>
  <c r="S66" i="23"/>
  <c r="T66" i="23"/>
  <c r="L67" i="23"/>
  <c r="M67" i="23"/>
  <c r="N67" i="23"/>
  <c r="O67" i="23"/>
  <c r="P67" i="23"/>
  <c r="Q67" i="23"/>
  <c r="R67" i="23"/>
  <c r="S67" i="23"/>
  <c r="T67" i="23"/>
  <c r="L69" i="23"/>
  <c r="M69" i="23"/>
  <c r="N69" i="23"/>
  <c r="O69" i="23"/>
  <c r="P69" i="23"/>
  <c r="Q69" i="23"/>
  <c r="R69" i="23"/>
  <c r="S69" i="23"/>
  <c r="T69" i="23"/>
  <c r="J66" i="23"/>
  <c r="K66" i="23"/>
  <c r="J67" i="23"/>
  <c r="K67" i="23"/>
  <c r="J69" i="23"/>
  <c r="K69" i="23"/>
  <c r="I67" i="23"/>
  <c r="I69" i="23"/>
  <c r="T23" i="35" l="1"/>
  <c r="U23" i="35"/>
  <c r="T33" i="35"/>
  <c r="U33" i="35"/>
  <c r="U46" i="35"/>
  <c r="H9" i="35"/>
  <c r="H7" i="35"/>
  <c r="K306" i="27"/>
  <c r="K305" i="27"/>
  <c r="K11" i="35" s="1"/>
  <c r="H304" i="27"/>
  <c r="H10" i="35" s="1"/>
  <c r="E248" i="27"/>
  <c r="E238" i="27"/>
  <c r="E239" i="27"/>
  <c r="E240" i="27"/>
  <c r="E241" i="27"/>
  <c r="E242" i="27"/>
  <c r="E243" i="27"/>
  <c r="E244" i="27"/>
  <c r="E245" i="27"/>
  <c r="E246" i="27"/>
  <c r="E247" i="27"/>
  <c r="E237" i="27"/>
  <c r="C237" i="27"/>
  <c r="C238" i="27"/>
  <c r="C239" i="27"/>
  <c r="C240" i="27"/>
  <c r="C241" i="27"/>
  <c r="C242" i="27"/>
  <c r="C243" i="27"/>
  <c r="C244" i="27"/>
  <c r="C245" i="27"/>
  <c r="C246" i="27"/>
  <c r="C247" i="27"/>
  <c r="C248" i="27"/>
  <c r="F236" i="27"/>
  <c r="B236" i="27"/>
  <c r="G259" i="27" s="1"/>
  <c r="J302" i="27" l="1"/>
  <c r="J8" i="35" s="1"/>
  <c r="C265" i="27"/>
  <c r="J272" i="27"/>
  <c r="K272" i="27" s="1"/>
  <c r="H305" i="27"/>
  <c r="H11" i="35" s="1"/>
  <c r="I301" i="27"/>
  <c r="I7" i="35" s="1"/>
  <c r="K293" i="27"/>
  <c r="J286" i="27"/>
  <c r="K286" i="27" s="1"/>
  <c r="J279" i="27"/>
  <c r="K279" i="27" s="1"/>
  <c r="U302" i="27"/>
  <c r="T302" i="27"/>
  <c r="S302" i="27"/>
  <c r="R302" i="27"/>
  <c r="Q302" i="27"/>
  <c r="P302" i="27"/>
  <c r="O302" i="27"/>
  <c r="N302" i="27"/>
  <c r="M302" i="27"/>
  <c r="L302" i="27"/>
  <c r="K302" i="27"/>
  <c r="K8" i="35" s="1"/>
  <c r="I302" i="27"/>
  <c r="H302" i="27"/>
  <c r="H8" i="35" s="1"/>
  <c r="G235" i="27"/>
  <c r="C258" i="27"/>
  <c r="C259" i="27"/>
  <c r="C260" i="27"/>
  <c r="C257" i="27"/>
  <c r="C256" i="27"/>
  <c r="C255" i="27"/>
  <c r="C254" i="27"/>
  <c r="C253" i="27"/>
  <c r="C252" i="27"/>
  <c r="C251" i="27"/>
  <c r="C250" i="27"/>
  <c r="C249" i="27"/>
  <c r="J236" i="27"/>
  <c r="H236" i="27"/>
  <c r="C236" i="27"/>
  <c r="I8" i="35" l="1"/>
  <c r="B237" i="27"/>
  <c r="J237" i="27" s="1"/>
  <c r="F237" i="27"/>
  <c r="H237" i="27" s="1"/>
  <c r="I237" i="27" s="1"/>
  <c r="K266" i="27"/>
  <c r="I266" i="27"/>
  <c r="I303" i="27" s="1"/>
  <c r="J266" i="27"/>
  <c r="J303" i="27" s="1"/>
  <c r="S5" i="34"/>
  <c r="H6" i="34"/>
  <c r="H7" i="34"/>
  <c r="H8" i="34"/>
  <c r="H9" i="34"/>
  <c r="H10" i="34"/>
  <c r="H11" i="34"/>
  <c r="H12" i="34"/>
  <c r="H5" i="34"/>
  <c r="K303" i="27" l="1"/>
  <c r="J9" i="35"/>
  <c r="I306" i="27"/>
  <c r="H306" i="27"/>
  <c r="I9" i="35"/>
  <c r="I304" i="27"/>
  <c r="B238" i="27"/>
  <c r="J238" i="27" s="1"/>
  <c r="F238" i="27"/>
  <c r="H238" i="27" s="1"/>
  <c r="J304" i="27"/>
  <c r="J10" i="35" s="1"/>
  <c r="T195" i="27"/>
  <c r="U195" i="27" s="1"/>
  <c r="I10" i="35" l="1"/>
  <c r="J301" i="27"/>
  <c r="J7" i="35" s="1"/>
  <c r="K9" i="35"/>
  <c r="J306" i="27"/>
  <c r="I238" i="27"/>
  <c r="B239" i="27"/>
  <c r="J239" i="27" s="1"/>
  <c r="F239" i="27"/>
  <c r="H239" i="27" s="1"/>
  <c r="I239" i="27" s="1"/>
  <c r="K301" i="27"/>
  <c r="K7" i="35" s="1"/>
  <c r="K304" i="27"/>
  <c r="K10" i="35" s="1"/>
  <c r="J41" i="27"/>
  <c r="J69" i="29"/>
  <c r="B240" i="27" l="1"/>
  <c r="J240" i="27" s="1"/>
  <c r="F240" i="27"/>
  <c r="H240" i="27" s="1"/>
  <c r="I240" i="27" s="1"/>
  <c r="L304" i="27"/>
  <c r="L305" i="27" s="1"/>
  <c r="U3" i="35"/>
  <c r="U8" i="35"/>
  <c r="U21" i="35"/>
  <c r="U29" i="35"/>
  <c r="U19" i="35" s="1"/>
  <c r="U39" i="35" s="1"/>
  <c r="U5" i="29"/>
  <c r="U16" i="29"/>
  <c r="U27" i="29"/>
  <c r="U28" i="29"/>
  <c r="U29" i="29"/>
  <c r="U30" i="29"/>
  <c r="U31" i="29"/>
  <c r="U32" i="29"/>
  <c r="U33" i="29"/>
  <c r="U39" i="29"/>
  <c r="U50" i="29"/>
  <c r="U61" i="29"/>
  <c r="U72" i="29"/>
  <c r="U83" i="29"/>
  <c r="U94" i="29"/>
  <c r="U100" i="29"/>
  <c r="U107" i="29"/>
  <c r="U11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E83" i="29"/>
  <c r="M88" i="23"/>
  <c r="N88" i="23"/>
  <c r="O88" i="23"/>
  <c r="P88" i="23"/>
  <c r="Q88" i="23"/>
  <c r="R88" i="23"/>
  <c r="S88" i="23"/>
  <c r="T88" i="23"/>
  <c r="L88" i="23"/>
  <c r="K88" i="23"/>
  <c r="I71" i="23"/>
  <c r="H114" i="29"/>
  <c r="I114" i="29" s="1"/>
  <c r="G114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F113" i="29"/>
  <c r="E113" i="29"/>
  <c r="G8" i="23"/>
  <c r="H9" i="23"/>
  <c r="G9" i="23"/>
  <c r="E100" i="23"/>
  <c r="F100" i="23"/>
  <c r="H68" i="23"/>
  <c r="B113" i="27"/>
  <c r="G105" i="23"/>
  <c r="H105" i="23"/>
  <c r="G99" i="23"/>
  <c r="H99" i="23"/>
  <c r="G100" i="23"/>
  <c r="H100" i="23"/>
  <c r="G101" i="23"/>
  <c r="H101" i="23"/>
  <c r="G102" i="23"/>
  <c r="H102" i="23"/>
  <c r="G103" i="23"/>
  <c r="H103" i="23"/>
  <c r="G104" i="23"/>
  <c r="H104" i="23"/>
  <c r="G98" i="23"/>
  <c r="B103" i="23"/>
  <c r="B100" i="23"/>
  <c r="B99" i="23"/>
  <c r="H98" i="23"/>
  <c r="G94" i="23"/>
  <c r="H94" i="23"/>
  <c r="G95" i="23"/>
  <c r="H95" i="23"/>
  <c r="H93" i="23"/>
  <c r="G93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H90" i="23"/>
  <c r="G5" i="23"/>
  <c r="G6" i="23"/>
  <c r="H108" i="23"/>
  <c r="H109" i="23"/>
  <c r="G109" i="23"/>
  <c r="U224" i="27"/>
  <c r="T224" i="27"/>
  <c r="S224" i="27"/>
  <c r="R224" i="27"/>
  <c r="Q224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F218" i="27"/>
  <c r="G218" i="27"/>
  <c r="H218" i="27"/>
  <c r="I218" i="27"/>
  <c r="J218" i="27"/>
  <c r="K218" i="27"/>
  <c r="L218" i="27"/>
  <c r="M218" i="27"/>
  <c r="N218" i="27"/>
  <c r="O218" i="27"/>
  <c r="P218" i="27"/>
  <c r="Q218" i="27"/>
  <c r="R218" i="27"/>
  <c r="S218" i="27"/>
  <c r="T218" i="27"/>
  <c r="U218" i="27"/>
  <c r="E218" i="27"/>
  <c r="F227" i="27"/>
  <c r="D227" i="27"/>
  <c r="F226" i="27"/>
  <c r="D226" i="27"/>
  <c r="F225" i="27"/>
  <c r="D225" i="27"/>
  <c r="J21" i="23"/>
  <c r="I33" i="35"/>
  <c r="J33" i="35"/>
  <c r="K33" i="35"/>
  <c r="L33" i="35"/>
  <c r="M33" i="35"/>
  <c r="H33" i="35"/>
  <c r="I23" i="35"/>
  <c r="J23" i="35"/>
  <c r="K23" i="35"/>
  <c r="L23" i="35"/>
  <c r="M23" i="35"/>
  <c r="H23" i="35"/>
  <c r="K18" i="35"/>
  <c r="I18" i="35"/>
  <c r="P10" i="27"/>
  <c r="Q10" i="27" s="1"/>
  <c r="R10" i="27" s="1"/>
  <c r="S10" i="27" s="1"/>
  <c r="T10" i="27" s="1"/>
  <c r="U10" i="27" s="1"/>
  <c r="S33" i="35" s="1"/>
  <c r="I219" i="27"/>
  <c r="J219" i="27" s="1"/>
  <c r="K219" i="27" s="1"/>
  <c r="L219" i="27" s="1"/>
  <c r="M219" i="27" s="1"/>
  <c r="N219" i="27" s="1"/>
  <c r="O219" i="27" s="1"/>
  <c r="P219" i="27" s="1"/>
  <c r="Q219" i="27" s="1"/>
  <c r="R219" i="27" s="1"/>
  <c r="S219" i="27" s="1"/>
  <c r="T219" i="27" s="1"/>
  <c r="U219" i="27" s="1"/>
  <c r="E198" i="27"/>
  <c r="G198" i="27"/>
  <c r="H198" i="27"/>
  <c r="I198" i="27"/>
  <c r="J198" i="27"/>
  <c r="K198" i="27"/>
  <c r="L198" i="27"/>
  <c r="M198" i="27"/>
  <c r="N198" i="27"/>
  <c r="O198" i="27"/>
  <c r="P198" i="27"/>
  <c r="Q198" i="27"/>
  <c r="R198" i="27"/>
  <c r="S198" i="27"/>
  <c r="T198" i="27"/>
  <c r="U198" i="27"/>
  <c r="F198" i="27"/>
  <c r="H200" i="27"/>
  <c r="I200" i="27" s="1"/>
  <c r="I13" i="23" s="1"/>
  <c r="H201" i="27"/>
  <c r="I201" i="27" s="1"/>
  <c r="H202" i="27"/>
  <c r="I202" i="27" s="1"/>
  <c r="H203" i="27"/>
  <c r="I203" i="27" s="1"/>
  <c r="H204" i="27"/>
  <c r="I204" i="27" s="1"/>
  <c r="I17" i="23" s="1"/>
  <c r="H205" i="27"/>
  <c r="I205" i="27" s="1"/>
  <c r="H199" i="27"/>
  <c r="K107" i="29"/>
  <c r="L107" i="29"/>
  <c r="M107" i="29"/>
  <c r="N107" i="29"/>
  <c r="O107" i="29"/>
  <c r="P107" i="29"/>
  <c r="Q107" i="29"/>
  <c r="R107" i="29"/>
  <c r="S107" i="29"/>
  <c r="T107" i="29"/>
  <c r="J107" i="29"/>
  <c r="E100" i="29"/>
  <c r="E107" i="29" s="1"/>
  <c r="F100" i="29"/>
  <c r="F107" i="29" s="1"/>
  <c r="G100" i="29"/>
  <c r="G107" i="29" s="1"/>
  <c r="H100" i="29"/>
  <c r="H107" i="29" s="1"/>
  <c r="I100" i="29"/>
  <c r="I107" i="29" s="1"/>
  <c r="J100" i="29"/>
  <c r="K100" i="29"/>
  <c r="L100" i="29"/>
  <c r="M100" i="29"/>
  <c r="N100" i="29"/>
  <c r="O100" i="29"/>
  <c r="P100" i="29"/>
  <c r="Q100" i="29"/>
  <c r="R100" i="29"/>
  <c r="S100" i="29"/>
  <c r="T100" i="29"/>
  <c r="B241" i="27" l="1"/>
  <c r="J241" i="27" s="1"/>
  <c r="F241" i="27"/>
  <c r="H241" i="27" s="1"/>
  <c r="I241" i="27" s="1"/>
  <c r="M304" i="27"/>
  <c r="M305" i="27" s="1"/>
  <c r="S23" i="35"/>
  <c r="O23" i="35"/>
  <c r="P33" i="35"/>
  <c r="Q33" i="35"/>
  <c r="R23" i="35"/>
  <c r="N23" i="35"/>
  <c r="O33" i="35"/>
  <c r="P23" i="35"/>
  <c r="Q23" i="35"/>
  <c r="R33" i="35"/>
  <c r="N33" i="35"/>
  <c r="U34" i="29"/>
  <c r="I70" i="23"/>
  <c r="J205" i="27"/>
  <c r="J201" i="27"/>
  <c r="I14" i="23"/>
  <c r="I16" i="23"/>
  <c r="J203" i="27"/>
  <c r="J202" i="27"/>
  <c r="I15" i="23"/>
  <c r="J200" i="27"/>
  <c r="J204" i="27"/>
  <c r="I199" i="27"/>
  <c r="B242" i="27" l="1"/>
  <c r="J242" i="27" s="1"/>
  <c r="F242" i="27"/>
  <c r="H242" i="27" s="1"/>
  <c r="I242" i="27" s="1"/>
  <c r="N304" i="27"/>
  <c r="N305" i="27" s="1"/>
  <c r="K202" i="27"/>
  <c r="J15" i="23"/>
  <c r="K204" i="27"/>
  <c r="J17" i="23"/>
  <c r="J14" i="23"/>
  <c r="K201" i="27"/>
  <c r="K200" i="27"/>
  <c r="J13" i="23"/>
  <c r="J16" i="23"/>
  <c r="K203" i="27"/>
  <c r="J199" i="27"/>
  <c r="I12" i="23"/>
  <c r="K205" i="27"/>
  <c r="B243" i="27" l="1"/>
  <c r="J243" i="27" s="1"/>
  <c r="F243" i="27"/>
  <c r="H243" i="27" s="1"/>
  <c r="I243" i="27" s="1"/>
  <c r="O304" i="27"/>
  <c r="O305" i="27" s="1"/>
  <c r="J12" i="23"/>
  <c r="K199" i="27"/>
  <c r="L200" i="27"/>
  <c r="K13" i="23"/>
  <c r="L204" i="27"/>
  <c r="K17" i="23"/>
  <c r="L203" i="27"/>
  <c r="K16" i="23"/>
  <c r="L205" i="27"/>
  <c r="L201" i="27"/>
  <c r="K14" i="23"/>
  <c r="L202" i="27"/>
  <c r="K15" i="23"/>
  <c r="B244" i="27" l="1"/>
  <c r="J244" i="27" s="1"/>
  <c r="F244" i="27"/>
  <c r="H244" i="27" s="1"/>
  <c r="I244" i="27" s="1"/>
  <c r="P304" i="27"/>
  <c r="P305" i="27" s="1"/>
  <c r="M201" i="27"/>
  <c r="L14" i="23"/>
  <c r="M203" i="27"/>
  <c r="L16" i="23"/>
  <c r="M200" i="27"/>
  <c r="L13" i="23"/>
  <c r="L199" i="27"/>
  <c r="K12" i="23"/>
  <c r="M202" i="27"/>
  <c r="L15" i="23"/>
  <c r="M205" i="27"/>
  <c r="M204" i="27"/>
  <c r="L17" i="23"/>
  <c r="B245" i="27" l="1"/>
  <c r="J245" i="27" s="1"/>
  <c r="F245" i="27"/>
  <c r="H245" i="27" s="1"/>
  <c r="I245" i="27" s="1"/>
  <c r="Q304" i="27"/>
  <c r="Q305" i="27" s="1"/>
  <c r="N205" i="27"/>
  <c r="M199" i="27"/>
  <c r="L12" i="23"/>
  <c r="N203" i="27"/>
  <c r="M16" i="23"/>
  <c r="N204" i="27"/>
  <c r="M17" i="23"/>
  <c r="N202" i="27"/>
  <c r="M15" i="23"/>
  <c r="N200" i="27"/>
  <c r="M13" i="23"/>
  <c r="N201" i="27"/>
  <c r="M14" i="23"/>
  <c r="B246" i="27" l="1"/>
  <c r="J246" i="27" s="1"/>
  <c r="F246" i="27"/>
  <c r="H246" i="27" s="1"/>
  <c r="I246" i="27" s="1"/>
  <c r="R304" i="27"/>
  <c r="R305" i="27" s="1"/>
  <c r="O200" i="27"/>
  <c r="N13" i="23"/>
  <c r="O204" i="27"/>
  <c r="N17" i="23"/>
  <c r="N199" i="27"/>
  <c r="M12" i="23"/>
  <c r="O201" i="27"/>
  <c r="N14" i="23"/>
  <c r="O202" i="27"/>
  <c r="N15" i="23"/>
  <c r="O203" i="27"/>
  <c r="N16" i="23"/>
  <c r="O205" i="27"/>
  <c r="B247" i="27" l="1"/>
  <c r="J247" i="27" s="1"/>
  <c r="F247" i="27"/>
  <c r="H247" i="27" s="1"/>
  <c r="I247" i="27" s="1"/>
  <c r="S304" i="27"/>
  <c r="S305" i="27" s="1"/>
  <c r="P203" i="27"/>
  <c r="O16" i="23"/>
  <c r="P201" i="27"/>
  <c r="O14" i="23"/>
  <c r="P204" i="27"/>
  <c r="O17" i="23"/>
  <c r="P205" i="27"/>
  <c r="P202" i="27"/>
  <c r="O15" i="23"/>
  <c r="O199" i="27"/>
  <c r="N12" i="23"/>
  <c r="P200" i="27"/>
  <c r="O13" i="23"/>
  <c r="B248" i="27" l="1"/>
  <c r="J248" i="27" s="1"/>
  <c r="F248" i="27"/>
  <c r="H248" i="27" s="1"/>
  <c r="I248" i="27" s="1"/>
  <c r="T304" i="27"/>
  <c r="T305" i="27" s="1"/>
  <c r="P199" i="27"/>
  <c r="O12" i="23"/>
  <c r="Q205" i="27"/>
  <c r="Q201" i="27"/>
  <c r="P14" i="23"/>
  <c r="Q200" i="27"/>
  <c r="P13" i="23"/>
  <c r="Q202" i="27"/>
  <c r="P15" i="23"/>
  <c r="Q204" i="27"/>
  <c r="P17" i="23"/>
  <c r="Q203" i="27"/>
  <c r="P16" i="23"/>
  <c r="AE5" i="34"/>
  <c r="AB5" i="34"/>
  <c r="K72" i="29"/>
  <c r="L72" i="29"/>
  <c r="M72" i="29"/>
  <c r="N72" i="29"/>
  <c r="O72" i="29"/>
  <c r="P72" i="29"/>
  <c r="Q72" i="29"/>
  <c r="R72" i="29"/>
  <c r="S72" i="29"/>
  <c r="T72" i="29"/>
  <c r="F72" i="29"/>
  <c r="G72" i="29"/>
  <c r="H72" i="29"/>
  <c r="I72" i="29"/>
  <c r="J72" i="29"/>
  <c r="E72" i="29"/>
  <c r="F5" i="23"/>
  <c r="E5" i="23"/>
  <c r="I194" i="27"/>
  <c r="J194" i="27" s="1"/>
  <c r="I192" i="27"/>
  <c r="H7" i="23" s="1"/>
  <c r="B194" i="27"/>
  <c r="B193" i="27"/>
  <c r="H184" i="27"/>
  <c r="B249" i="27" l="1"/>
  <c r="J249" i="27" s="1"/>
  <c r="F249" i="27"/>
  <c r="H249" i="27" s="1"/>
  <c r="U304" i="27"/>
  <c r="U305" i="27" s="1"/>
  <c r="H8" i="23"/>
  <c r="I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T8" i="23" s="1"/>
  <c r="R204" i="27"/>
  <c r="Q17" i="23"/>
  <c r="R200" i="27"/>
  <c r="Q13" i="23"/>
  <c r="R205" i="27"/>
  <c r="R203" i="27"/>
  <c r="Q16" i="23"/>
  <c r="R202" i="27"/>
  <c r="Q15" i="23"/>
  <c r="R201" i="27"/>
  <c r="Q14" i="23"/>
  <c r="Q199" i="27"/>
  <c r="P12" i="23"/>
  <c r="I193" i="27"/>
  <c r="J193" i="27" s="1"/>
  <c r="K193" i="27" s="1"/>
  <c r="K194" i="27"/>
  <c r="I249" i="27" l="1"/>
  <c r="B250" i="27"/>
  <c r="J250" i="27" s="1"/>
  <c r="F250" i="27"/>
  <c r="H250" i="27" s="1"/>
  <c r="I250" i="27" s="1"/>
  <c r="S201" i="27"/>
  <c r="R14" i="23"/>
  <c r="S203" i="27"/>
  <c r="R16" i="23"/>
  <c r="S200" i="27"/>
  <c r="R13" i="23"/>
  <c r="R199" i="27"/>
  <c r="Q12" i="23"/>
  <c r="S202" i="27"/>
  <c r="R15" i="23"/>
  <c r="S205" i="27"/>
  <c r="S204" i="27"/>
  <c r="R17" i="23"/>
  <c r="L194" i="27"/>
  <c r="L193" i="27"/>
  <c r="F251" i="27" l="1"/>
  <c r="B251" i="27"/>
  <c r="J251" i="27" s="1"/>
  <c r="T205" i="27"/>
  <c r="S199" i="27"/>
  <c r="R12" i="23"/>
  <c r="T203" i="27"/>
  <c r="S16" i="23"/>
  <c r="T204" i="27"/>
  <c r="S17" i="23"/>
  <c r="T202" i="27"/>
  <c r="S15" i="23"/>
  <c r="T200" i="27"/>
  <c r="S13" i="23"/>
  <c r="T201" i="27"/>
  <c r="S14" i="23"/>
  <c r="M193" i="27"/>
  <c r="M194" i="27"/>
  <c r="F252" i="27" l="1"/>
  <c r="B252" i="27"/>
  <c r="J252" i="27" s="1"/>
  <c r="H251" i="27"/>
  <c r="G225" i="27"/>
  <c r="U200" i="27"/>
  <c r="T13" i="23"/>
  <c r="U204" i="27"/>
  <c r="T17" i="23"/>
  <c r="T199" i="27"/>
  <c r="S12" i="23"/>
  <c r="U201" i="27"/>
  <c r="T14" i="23"/>
  <c r="U202" i="27"/>
  <c r="T15" i="23"/>
  <c r="U203" i="27"/>
  <c r="T16" i="23"/>
  <c r="U205" i="27"/>
  <c r="N194" i="27"/>
  <c r="N193" i="27"/>
  <c r="I251" i="27" l="1"/>
  <c r="F253" i="27"/>
  <c r="B253" i="27"/>
  <c r="J253" i="27" s="1"/>
  <c r="H252" i="27"/>
  <c r="I252" i="27" s="1"/>
  <c r="G226" i="27"/>
  <c r="U199" i="27"/>
  <c r="T12" i="23"/>
  <c r="O193" i="27"/>
  <c r="O194" i="27"/>
  <c r="F254" i="27" l="1"/>
  <c r="H254" i="27" s="1"/>
  <c r="I254" i="27" s="1"/>
  <c r="B254" i="27"/>
  <c r="J254" i="27" s="1"/>
  <c r="G227" i="27"/>
  <c r="H253" i="27"/>
  <c r="P193" i="27"/>
  <c r="P194" i="27"/>
  <c r="I253" i="27" l="1"/>
  <c r="F255" i="27"/>
  <c r="H255" i="27" s="1"/>
  <c r="I255" i="27" s="1"/>
  <c r="B255" i="27"/>
  <c r="J255" i="27" s="1"/>
  <c r="Q194" i="27"/>
  <c r="Q193" i="27"/>
  <c r="B256" i="27" l="1"/>
  <c r="J256" i="27" s="1"/>
  <c r="F256" i="27"/>
  <c r="H256" i="27" s="1"/>
  <c r="I256" i="27" s="1"/>
  <c r="R193" i="27"/>
  <c r="R194" i="27"/>
  <c r="F257" i="27" l="1"/>
  <c r="H257" i="27" s="1"/>
  <c r="I257" i="27" s="1"/>
  <c r="B257" i="27"/>
  <c r="J257" i="27" s="1"/>
  <c r="S193" i="27"/>
  <c r="S194" i="27"/>
  <c r="B258" i="27" l="1"/>
  <c r="J258" i="27" s="1"/>
  <c r="F258" i="27"/>
  <c r="H258" i="27" s="1"/>
  <c r="I258" i="27" s="1"/>
  <c r="T193" i="27"/>
  <c r="T194" i="27"/>
  <c r="B259" i="27" l="1"/>
  <c r="J259" i="27" s="1"/>
  <c r="F259" i="27"/>
  <c r="H259" i="27" s="1"/>
  <c r="I259" i="27" s="1"/>
  <c r="U194" i="27"/>
  <c r="U193" i="27"/>
  <c r="B260" i="27" l="1"/>
  <c r="J260" i="27" s="1"/>
  <c r="F260" i="27"/>
  <c r="H260" i="27" s="1"/>
  <c r="H182" i="27"/>
  <c r="H6" i="23" s="1"/>
  <c r="H235" i="27" l="1"/>
  <c r="I267" i="27"/>
  <c r="I305" i="27" s="1"/>
  <c r="I11" i="35" s="1"/>
  <c r="I260" i="27"/>
  <c r="I235" i="27" s="1"/>
  <c r="J267" i="27"/>
  <c r="J305" i="27" s="1"/>
  <c r="J11" i="35" s="1"/>
  <c r="H5" i="23"/>
  <c r="I191" i="27"/>
  <c r="I6" i="23" s="1"/>
  <c r="G162" i="27"/>
  <c r="G163" i="27"/>
  <c r="G164" i="27"/>
  <c r="G161" i="27"/>
  <c r="D165" i="27"/>
  <c r="H176" i="27"/>
  <c r="G176" i="27"/>
  <c r="I190" i="27" l="1"/>
  <c r="J191" i="27"/>
  <c r="J6" i="23" s="1"/>
  <c r="H11" i="29"/>
  <c r="M191" i="27" l="1"/>
  <c r="M6" i="23" s="1"/>
  <c r="Q191" i="27"/>
  <c r="Q6" i="23" s="1"/>
  <c r="U191" i="27"/>
  <c r="O191" i="27"/>
  <c r="O6" i="23" s="1"/>
  <c r="L191" i="27"/>
  <c r="L6" i="23" s="1"/>
  <c r="T191" i="27"/>
  <c r="T6" i="23" s="1"/>
  <c r="N191" i="27"/>
  <c r="N6" i="23" s="1"/>
  <c r="R191" i="27"/>
  <c r="R6" i="23" s="1"/>
  <c r="K191" i="27"/>
  <c r="K6" i="23" s="1"/>
  <c r="S191" i="27"/>
  <c r="S6" i="23" s="1"/>
  <c r="P191" i="27"/>
  <c r="P6" i="23" s="1"/>
  <c r="H172" i="27"/>
  <c r="H7" i="29" s="1"/>
  <c r="H173" i="27"/>
  <c r="H8" i="29" s="1"/>
  <c r="H174" i="27"/>
  <c r="H9" i="29" s="1"/>
  <c r="H175" i="27"/>
  <c r="H10" i="29" s="1"/>
  <c r="G173" i="27"/>
  <c r="G174" i="27"/>
  <c r="G175" i="27"/>
  <c r="G172" i="27"/>
  <c r="H171" i="27"/>
  <c r="H6" i="29" s="1"/>
  <c r="R6" i="34" l="1"/>
  <c r="R5" i="34"/>
  <c r="M5" i="34"/>
  <c r="J19" i="33"/>
  <c r="R8" i="34" s="1"/>
  <c r="J20" i="33"/>
  <c r="R9" i="34" s="1"/>
  <c r="J21" i="33"/>
  <c r="R10" i="34" s="1"/>
  <c r="J22" i="33"/>
  <c r="R11" i="34" s="1"/>
  <c r="J23" i="33"/>
  <c r="R12" i="34" s="1"/>
  <c r="J24" i="33"/>
  <c r="R13" i="34" s="1"/>
  <c r="J25" i="33"/>
  <c r="R14" i="34" s="1"/>
  <c r="J26" i="33"/>
  <c r="J27" i="33"/>
  <c r="J15" i="33" s="1"/>
  <c r="J28" i="33"/>
  <c r="J18" i="33"/>
  <c r="R7" i="34" s="1"/>
  <c r="U5" i="34" l="1"/>
  <c r="M6" i="34" s="1"/>
  <c r="U6" i="34" l="1"/>
  <c r="M7" i="34" s="1"/>
  <c r="U7" i="34" l="1"/>
  <c r="M8" i="34" s="1"/>
  <c r="U8" i="34" l="1"/>
  <c r="M9" i="34" s="1"/>
  <c r="U9" i="34" l="1"/>
  <c r="M10" i="34" s="1"/>
  <c r="U10" i="34" l="1"/>
  <c r="M11" i="34" s="1"/>
  <c r="I15" i="33"/>
  <c r="H8" i="33" s="1"/>
  <c r="H5" i="33"/>
  <c r="H16" i="33" s="1"/>
  <c r="G16" i="33" s="1"/>
  <c r="U11" i="34" l="1"/>
  <c r="M12" i="34" s="1"/>
  <c r="U12" i="34" l="1"/>
  <c r="M13" i="34" s="1"/>
  <c r="U13" i="34" l="1"/>
  <c r="M14" i="34" s="1"/>
  <c r="U14" i="34" l="1"/>
  <c r="H19" i="35" l="1"/>
  <c r="H39" i="35" s="1"/>
  <c r="T8" i="35"/>
  <c r="S8" i="35"/>
  <c r="R8" i="35"/>
  <c r="Q8" i="35"/>
  <c r="P8" i="35"/>
  <c r="O8" i="35"/>
  <c r="N8" i="35"/>
  <c r="M8" i="35"/>
  <c r="L8" i="35"/>
  <c r="T3" i="35"/>
  <c r="S3" i="35"/>
  <c r="R3" i="35"/>
  <c r="Q3" i="35"/>
  <c r="P3" i="35"/>
  <c r="O3" i="35"/>
  <c r="N3" i="35"/>
  <c r="M3" i="35"/>
  <c r="L3" i="35"/>
  <c r="K3" i="35"/>
  <c r="J3" i="35"/>
  <c r="I3" i="35"/>
  <c r="H3" i="35"/>
  <c r="G3" i="35"/>
  <c r="F3" i="35"/>
  <c r="E3" i="35"/>
  <c r="B5" i="34" l="1"/>
  <c r="X5" i="34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15" i="33"/>
  <c r="D8" i="33" s="1"/>
  <c r="D5" i="33"/>
  <c r="C27" i="33" l="1"/>
  <c r="B27" i="33" s="1"/>
  <c r="Z16" i="34"/>
  <c r="Y16" i="34" s="1"/>
  <c r="Z20" i="34"/>
  <c r="Y20" i="34" s="1"/>
  <c r="Z24" i="34"/>
  <c r="Y24" i="34" s="1"/>
  <c r="Z28" i="34"/>
  <c r="Y28" i="34" s="1"/>
  <c r="Z32" i="34"/>
  <c r="Y32" i="34" s="1"/>
  <c r="Z36" i="34"/>
  <c r="Y36" i="34" s="1"/>
  <c r="Z40" i="34"/>
  <c r="Y40" i="34" s="1"/>
  <c r="Z44" i="34"/>
  <c r="Y44" i="34" s="1"/>
  <c r="Z48" i="34"/>
  <c r="Y48" i="34" s="1"/>
  <c r="Z52" i="34"/>
  <c r="Y52" i="34" s="1"/>
  <c r="Z56" i="34"/>
  <c r="Y56" i="34" s="1"/>
  <c r="Z60" i="34"/>
  <c r="Y60" i="34" s="1"/>
  <c r="Z64" i="34"/>
  <c r="Y64" i="34" s="1"/>
  <c r="Z68" i="34"/>
  <c r="Y68" i="34" s="1"/>
  <c r="Z72" i="34"/>
  <c r="Y72" i="34" s="1"/>
  <c r="Z76" i="34"/>
  <c r="Y76" i="34" s="1"/>
  <c r="Z80" i="34"/>
  <c r="Y80" i="34" s="1"/>
  <c r="Z84" i="34"/>
  <c r="Y84" i="34" s="1"/>
  <c r="Z88" i="34"/>
  <c r="Y88" i="34" s="1"/>
  <c r="Z92" i="34"/>
  <c r="Y92" i="34" s="1"/>
  <c r="Z17" i="34"/>
  <c r="Y17" i="34" s="1"/>
  <c r="Z21" i="34"/>
  <c r="Y21" i="34" s="1"/>
  <c r="Z25" i="34"/>
  <c r="Y25" i="34" s="1"/>
  <c r="Z29" i="34"/>
  <c r="Y29" i="34" s="1"/>
  <c r="Z33" i="34"/>
  <c r="Y33" i="34" s="1"/>
  <c r="Z37" i="34"/>
  <c r="Y37" i="34" s="1"/>
  <c r="Z41" i="34"/>
  <c r="Y41" i="34" s="1"/>
  <c r="Z45" i="34"/>
  <c r="Y45" i="34" s="1"/>
  <c r="Z49" i="34"/>
  <c r="Y49" i="34" s="1"/>
  <c r="Z53" i="34"/>
  <c r="Y53" i="34" s="1"/>
  <c r="Z57" i="34"/>
  <c r="Y57" i="34" s="1"/>
  <c r="Z61" i="34"/>
  <c r="Y61" i="34" s="1"/>
  <c r="Z65" i="34"/>
  <c r="Y65" i="34" s="1"/>
  <c r="Z69" i="34"/>
  <c r="Y69" i="34" s="1"/>
  <c r="Z73" i="34"/>
  <c r="Y73" i="34" s="1"/>
  <c r="Z77" i="34"/>
  <c r="Y77" i="34" s="1"/>
  <c r="Z81" i="34"/>
  <c r="Y81" i="34" s="1"/>
  <c r="Z85" i="34"/>
  <c r="Y85" i="34" s="1"/>
  <c r="Z89" i="34"/>
  <c r="Y89" i="34" s="1"/>
  <c r="Z93" i="34"/>
  <c r="Y93" i="34" s="1"/>
  <c r="Z18" i="34"/>
  <c r="Y18" i="34" s="1"/>
  <c r="Z22" i="34"/>
  <c r="Y22" i="34" s="1"/>
  <c r="Z26" i="34"/>
  <c r="Y26" i="34" s="1"/>
  <c r="Z30" i="34"/>
  <c r="Y30" i="34" s="1"/>
  <c r="Z34" i="34"/>
  <c r="Y34" i="34" s="1"/>
  <c r="Z38" i="34"/>
  <c r="Y38" i="34" s="1"/>
  <c r="Z42" i="34"/>
  <c r="Y42" i="34" s="1"/>
  <c r="Z46" i="34"/>
  <c r="Y46" i="34" s="1"/>
  <c r="Z50" i="34"/>
  <c r="Y50" i="34" s="1"/>
  <c r="Z54" i="34"/>
  <c r="Y54" i="34" s="1"/>
  <c r="Z58" i="34"/>
  <c r="Y58" i="34" s="1"/>
  <c r="Z62" i="34"/>
  <c r="Y62" i="34" s="1"/>
  <c r="Z66" i="34"/>
  <c r="Y66" i="34" s="1"/>
  <c r="Z70" i="34"/>
  <c r="Y70" i="34" s="1"/>
  <c r="Z74" i="34"/>
  <c r="Y74" i="34" s="1"/>
  <c r="Z78" i="34"/>
  <c r="Y78" i="34" s="1"/>
  <c r="Z82" i="34"/>
  <c r="Y82" i="34" s="1"/>
  <c r="Z86" i="34"/>
  <c r="Y86" i="34" s="1"/>
  <c r="Z90" i="34"/>
  <c r="Y90" i="34" s="1"/>
  <c r="Z94" i="34"/>
  <c r="Y94" i="34" s="1"/>
  <c r="Z27" i="34"/>
  <c r="Y27" i="34" s="1"/>
  <c r="Z43" i="34"/>
  <c r="Y43" i="34" s="1"/>
  <c r="Z59" i="34"/>
  <c r="Y59" i="34" s="1"/>
  <c r="Z75" i="34"/>
  <c r="Y75" i="34" s="1"/>
  <c r="Z91" i="34"/>
  <c r="Y91" i="34" s="1"/>
  <c r="Z98" i="34"/>
  <c r="Y98" i="34" s="1"/>
  <c r="Z102" i="34"/>
  <c r="Y102" i="34" s="1"/>
  <c r="Z106" i="34"/>
  <c r="Y106" i="34" s="1"/>
  <c r="Z110" i="34"/>
  <c r="Y110" i="34" s="1"/>
  <c r="Z114" i="34"/>
  <c r="Y114" i="34" s="1"/>
  <c r="Z118" i="34"/>
  <c r="Y118" i="34" s="1"/>
  <c r="Z122" i="34"/>
  <c r="Y122" i="34" s="1"/>
  <c r="Z126" i="34"/>
  <c r="Y126" i="34" s="1"/>
  <c r="Z130" i="34"/>
  <c r="Y130" i="34" s="1"/>
  <c r="O5" i="34"/>
  <c r="Z14" i="34"/>
  <c r="Y14" i="34" s="1"/>
  <c r="Z7" i="34"/>
  <c r="Y7" i="34" s="1"/>
  <c r="Z39" i="34"/>
  <c r="Y39" i="34" s="1"/>
  <c r="Z71" i="34"/>
  <c r="Y71" i="34" s="1"/>
  <c r="Z101" i="34"/>
  <c r="Y101" i="34" s="1"/>
  <c r="Z113" i="34"/>
  <c r="Y113" i="34" s="1"/>
  <c r="Z129" i="34"/>
  <c r="Y129" i="34" s="1"/>
  <c r="Z12" i="34"/>
  <c r="Y12" i="34" s="1"/>
  <c r="Z15" i="34"/>
  <c r="Y15" i="34" s="1"/>
  <c r="Z31" i="34"/>
  <c r="Y31" i="34" s="1"/>
  <c r="Z47" i="34"/>
  <c r="Y47" i="34" s="1"/>
  <c r="Z63" i="34"/>
  <c r="Y63" i="34" s="1"/>
  <c r="Z79" i="34"/>
  <c r="Y79" i="34" s="1"/>
  <c r="Z95" i="34"/>
  <c r="Y95" i="34" s="1"/>
  <c r="Z99" i="34"/>
  <c r="Y99" i="34" s="1"/>
  <c r="Z103" i="34"/>
  <c r="Y103" i="34" s="1"/>
  <c r="Z107" i="34"/>
  <c r="Y107" i="34" s="1"/>
  <c r="Z111" i="34"/>
  <c r="Y111" i="34" s="1"/>
  <c r="Z115" i="34"/>
  <c r="Y115" i="34" s="1"/>
  <c r="Z119" i="34"/>
  <c r="Y119" i="34" s="1"/>
  <c r="Z123" i="34"/>
  <c r="Y123" i="34" s="1"/>
  <c r="Z127" i="34"/>
  <c r="Y127" i="34" s="1"/>
  <c r="Z131" i="34"/>
  <c r="Y131" i="34" s="1"/>
  <c r="D5" i="34"/>
  <c r="Z11" i="34"/>
  <c r="Y11" i="34" s="1"/>
  <c r="Z9" i="34"/>
  <c r="Y9" i="34" s="1"/>
  <c r="Z23" i="34"/>
  <c r="Y23" i="34" s="1"/>
  <c r="Z87" i="34"/>
  <c r="Y87" i="34" s="1"/>
  <c r="Z105" i="34"/>
  <c r="Y105" i="34" s="1"/>
  <c r="Z117" i="34"/>
  <c r="Y117" i="34" s="1"/>
  <c r="Z5" i="34"/>
  <c r="Y5" i="34" s="1"/>
  <c r="Z10" i="34"/>
  <c r="Y10" i="34" s="1"/>
  <c r="Z19" i="34"/>
  <c r="Y19" i="34" s="1"/>
  <c r="Z35" i="34"/>
  <c r="Y35" i="34" s="1"/>
  <c r="Z51" i="34"/>
  <c r="Y51" i="34" s="1"/>
  <c r="Z67" i="34"/>
  <c r="Y67" i="34" s="1"/>
  <c r="Z83" i="34"/>
  <c r="Y83" i="34" s="1"/>
  <c r="Z96" i="34"/>
  <c r="Y96" i="34" s="1"/>
  <c r="Z100" i="34"/>
  <c r="Y100" i="34" s="1"/>
  <c r="Z104" i="34"/>
  <c r="Y104" i="34" s="1"/>
  <c r="Z108" i="34"/>
  <c r="Y108" i="34" s="1"/>
  <c r="Z112" i="34"/>
  <c r="Y112" i="34" s="1"/>
  <c r="Z116" i="34"/>
  <c r="Y116" i="34" s="1"/>
  <c r="Z120" i="34"/>
  <c r="Y120" i="34" s="1"/>
  <c r="Z124" i="34"/>
  <c r="Y124" i="34" s="1"/>
  <c r="Z128" i="34"/>
  <c r="Y128" i="34" s="1"/>
  <c r="Z132" i="34"/>
  <c r="Y132" i="34" s="1"/>
  <c r="Z13" i="34"/>
  <c r="Y13" i="34" s="1"/>
  <c r="Z8" i="34"/>
  <c r="Y8" i="34" s="1"/>
  <c r="Z6" i="34"/>
  <c r="Y6" i="34" s="1"/>
  <c r="Z55" i="34"/>
  <c r="Y55" i="34" s="1"/>
  <c r="Z97" i="34"/>
  <c r="Y97" i="34" s="1"/>
  <c r="Z109" i="34"/>
  <c r="Y109" i="34" s="1"/>
  <c r="Z121" i="34"/>
  <c r="Y121" i="34" s="1"/>
  <c r="Z125" i="34"/>
  <c r="Y125" i="34" s="1"/>
  <c r="O11" i="34"/>
  <c r="N11" i="34" s="1"/>
  <c r="O12" i="34"/>
  <c r="N12" i="34" s="1"/>
  <c r="O14" i="34"/>
  <c r="N14" i="34" s="1"/>
  <c r="O8" i="34"/>
  <c r="N8" i="34" s="1"/>
  <c r="O6" i="34"/>
  <c r="N6" i="34" s="1"/>
  <c r="O13" i="34"/>
  <c r="N13" i="34" s="1"/>
  <c r="O10" i="34"/>
  <c r="N10" i="34" s="1"/>
  <c r="O7" i="34"/>
  <c r="N7" i="34" s="1"/>
  <c r="O9" i="34"/>
  <c r="N9" i="34" s="1"/>
  <c r="H26" i="33"/>
  <c r="G26" i="33" s="1"/>
  <c r="H23" i="33"/>
  <c r="G23" i="33" s="1"/>
  <c r="H18" i="33"/>
  <c r="G18" i="33" s="1"/>
  <c r="H28" i="33"/>
  <c r="G28" i="33" s="1"/>
  <c r="H25" i="33"/>
  <c r="G25" i="33" s="1"/>
  <c r="H20" i="33"/>
  <c r="G20" i="33" s="1"/>
  <c r="H17" i="33"/>
  <c r="G17" i="33" s="1"/>
  <c r="H27" i="33"/>
  <c r="G27" i="33" s="1"/>
  <c r="H22" i="33"/>
  <c r="G22" i="33" s="1"/>
  <c r="H19" i="33"/>
  <c r="G19" i="33" s="1"/>
  <c r="H24" i="33"/>
  <c r="G24" i="33" s="1"/>
  <c r="H21" i="33"/>
  <c r="G21" i="33" s="1"/>
  <c r="C26" i="33"/>
  <c r="B26" i="33" s="1"/>
  <c r="D6" i="34"/>
  <c r="D14" i="34"/>
  <c r="D22" i="34"/>
  <c r="D30" i="34"/>
  <c r="D38" i="34"/>
  <c r="D46" i="34"/>
  <c r="D50" i="34"/>
  <c r="D58" i="34"/>
  <c r="D62" i="34"/>
  <c r="D66" i="34"/>
  <c r="D70" i="34"/>
  <c r="D74" i="34"/>
  <c r="D78" i="34"/>
  <c r="D82" i="34"/>
  <c r="D86" i="34"/>
  <c r="D90" i="34"/>
  <c r="C90" i="34" s="1"/>
  <c r="D94" i="34"/>
  <c r="D98" i="34"/>
  <c r="D102" i="34"/>
  <c r="D106" i="34"/>
  <c r="D110" i="34"/>
  <c r="D114" i="34"/>
  <c r="D118" i="34"/>
  <c r="D122" i="34"/>
  <c r="D126" i="34"/>
  <c r="D130" i="34"/>
  <c r="C28" i="33"/>
  <c r="B28" i="33" s="1"/>
  <c r="D7" i="34"/>
  <c r="D15" i="34"/>
  <c r="D23" i="34"/>
  <c r="D31" i="34"/>
  <c r="D39" i="34"/>
  <c r="C39" i="34" s="1"/>
  <c r="D47" i="34"/>
  <c r="D55" i="34"/>
  <c r="D63" i="34"/>
  <c r="D71" i="34"/>
  <c r="D79" i="34"/>
  <c r="D87" i="34"/>
  <c r="D95" i="34"/>
  <c r="D103" i="34"/>
  <c r="D111" i="34"/>
  <c r="D123" i="34"/>
  <c r="C22" i="33"/>
  <c r="B22" i="33" s="1"/>
  <c r="D8" i="34"/>
  <c r="D12" i="34"/>
  <c r="D16" i="34"/>
  <c r="D20" i="34"/>
  <c r="D24" i="34"/>
  <c r="D28" i="34"/>
  <c r="D32" i="34"/>
  <c r="D36" i="34"/>
  <c r="D40" i="34"/>
  <c r="D44" i="34"/>
  <c r="D48" i="34"/>
  <c r="D52" i="34"/>
  <c r="D56" i="34"/>
  <c r="D60" i="34"/>
  <c r="D64" i="34"/>
  <c r="D68" i="34"/>
  <c r="D72" i="34"/>
  <c r="D76" i="34"/>
  <c r="D80" i="34"/>
  <c r="D84" i="34"/>
  <c r="D88" i="34"/>
  <c r="D92" i="34"/>
  <c r="D96" i="34"/>
  <c r="D100" i="34"/>
  <c r="D104" i="34"/>
  <c r="D108" i="34"/>
  <c r="D112" i="34"/>
  <c r="D116" i="34"/>
  <c r="D120" i="34"/>
  <c r="C120" i="34" s="1"/>
  <c r="D124" i="34"/>
  <c r="D128" i="34"/>
  <c r="D132" i="34"/>
  <c r="C18" i="33"/>
  <c r="B18" i="33" s="1"/>
  <c r="D10" i="34"/>
  <c r="D18" i="34"/>
  <c r="D26" i="34"/>
  <c r="D34" i="34"/>
  <c r="D42" i="34"/>
  <c r="D54" i="34"/>
  <c r="C20" i="33"/>
  <c r="B20" i="33" s="1"/>
  <c r="D11" i="34"/>
  <c r="D19" i="34"/>
  <c r="D27" i="34"/>
  <c r="D35" i="34"/>
  <c r="D43" i="34"/>
  <c r="D51" i="34"/>
  <c r="D59" i="34"/>
  <c r="D67" i="34"/>
  <c r="D75" i="34"/>
  <c r="D83" i="34"/>
  <c r="D91" i="34"/>
  <c r="D99" i="34"/>
  <c r="D107" i="34"/>
  <c r="D115" i="34"/>
  <c r="D119" i="34"/>
  <c r="D127" i="34"/>
  <c r="D131" i="34"/>
  <c r="C16" i="33"/>
  <c r="B16" i="33" s="1"/>
  <c r="C24" i="33"/>
  <c r="B24" i="33" s="1"/>
  <c r="D9" i="34"/>
  <c r="D13" i="34"/>
  <c r="D17" i="34"/>
  <c r="D21" i="34"/>
  <c r="D25" i="34"/>
  <c r="D29" i="34"/>
  <c r="D33" i="34"/>
  <c r="D37" i="34"/>
  <c r="D41" i="34"/>
  <c r="D45" i="34"/>
  <c r="D49" i="34"/>
  <c r="D53" i="34"/>
  <c r="D57" i="34"/>
  <c r="D61" i="34"/>
  <c r="D65" i="34"/>
  <c r="D69" i="34"/>
  <c r="D73" i="34"/>
  <c r="D77" i="34"/>
  <c r="D81" i="34"/>
  <c r="D85" i="34"/>
  <c r="D89" i="34"/>
  <c r="D93" i="34"/>
  <c r="D97" i="34"/>
  <c r="D101" i="34"/>
  <c r="D105" i="34"/>
  <c r="D109" i="34"/>
  <c r="D113" i="34"/>
  <c r="D117" i="34"/>
  <c r="D121" i="34"/>
  <c r="D125" i="34"/>
  <c r="D129" i="34"/>
  <c r="C43" i="34"/>
  <c r="C40" i="34"/>
  <c r="C17" i="33"/>
  <c r="B17" i="33" s="1"/>
  <c r="C19" i="33"/>
  <c r="B19" i="33" s="1"/>
  <c r="C21" i="33"/>
  <c r="B21" i="33" s="1"/>
  <c r="C23" i="33"/>
  <c r="B23" i="33" s="1"/>
  <c r="C25" i="33"/>
  <c r="B25" i="33" s="1"/>
  <c r="C93" i="34" l="1"/>
  <c r="C13" i="34"/>
  <c r="C75" i="34"/>
  <c r="C104" i="34"/>
  <c r="C56" i="34"/>
  <c r="C103" i="34"/>
  <c r="C89" i="34"/>
  <c r="C25" i="34"/>
  <c r="C67" i="34"/>
  <c r="C26" i="34"/>
  <c r="C84" i="34"/>
  <c r="C36" i="34"/>
  <c r="C95" i="34"/>
  <c r="C63" i="34"/>
  <c r="C118" i="34"/>
  <c r="C102" i="34"/>
  <c r="C86" i="34"/>
  <c r="C70" i="34"/>
  <c r="C50" i="34"/>
  <c r="C22" i="34"/>
  <c r="G5" i="34"/>
  <c r="AC5" i="34" s="1"/>
  <c r="C109" i="34"/>
  <c r="C45" i="34"/>
  <c r="C107" i="34"/>
  <c r="C34" i="34"/>
  <c r="C121" i="34"/>
  <c r="C73" i="34"/>
  <c r="C41" i="34"/>
  <c r="C127" i="34"/>
  <c r="C35" i="34"/>
  <c r="C132" i="34"/>
  <c r="C100" i="34"/>
  <c r="C52" i="34"/>
  <c r="C31" i="34"/>
  <c r="C101" i="34"/>
  <c r="C85" i="34"/>
  <c r="C53" i="34"/>
  <c r="C37" i="34"/>
  <c r="C21" i="34"/>
  <c r="C119" i="34"/>
  <c r="C91" i="34"/>
  <c r="C59" i="34"/>
  <c r="C27" i="34"/>
  <c r="C54" i="34"/>
  <c r="C18" i="34"/>
  <c r="C128" i="34"/>
  <c r="C112" i="34"/>
  <c r="C96" i="34"/>
  <c r="C80" i="34"/>
  <c r="C64" i="34"/>
  <c r="C48" i="34"/>
  <c r="C32" i="34"/>
  <c r="C16" i="34"/>
  <c r="C123" i="34"/>
  <c r="C87" i="34"/>
  <c r="C55" i="34"/>
  <c r="C23" i="34"/>
  <c r="C130" i="34"/>
  <c r="C114" i="34"/>
  <c r="C98" i="34"/>
  <c r="C82" i="34"/>
  <c r="C66" i="34"/>
  <c r="C46" i="34"/>
  <c r="C14" i="34"/>
  <c r="C77" i="34"/>
  <c r="C29" i="34"/>
  <c r="C131" i="34"/>
  <c r="G11" i="34"/>
  <c r="AC11" i="34" s="1"/>
  <c r="G8" i="34"/>
  <c r="AC8" i="34" s="1"/>
  <c r="C8" i="34"/>
  <c r="C105" i="34"/>
  <c r="C57" i="34"/>
  <c r="G9" i="34"/>
  <c r="AC9" i="34" s="1"/>
  <c r="C99" i="34"/>
  <c r="C116" i="34"/>
  <c r="C68" i="34"/>
  <c r="C20" i="34"/>
  <c r="C88" i="34"/>
  <c r="C117" i="34"/>
  <c r="C69" i="34"/>
  <c r="C129" i="34"/>
  <c r="C113" i="34"/>
  <c r="C97" i="34"/>
  <c r="C81" i="34"/>
  <c r="C65" i="34"/>
  <c r="C49" i="34"/>
  <c r="C33" i="34"/>
  <c r="C17" i="34"/>
  <c r="C115" i="34"/>
  <c r="C83" i="34"/>
  <c r="C51" i="34"/>
  <c r="C19" i="34"/>
  <c r="C42" i="34"/>
  <c r="C10" i="34"/>
  <c r="C124" i="34"/>
  <c r="C108" i="34"/>
  <c r="C92" i="34"/>
  <c r="C76" i="34"/>
  <c r="C60" i="34"/>
  <c r="C44" i="34"/>
  <c r="C28" i="34"/>
  <c r="G12" i="34"/>
  <c r="AC12" i="34" s="1"/>
  <c r="C111" i="34"/>
  <c r="C79" i="34"/>
  <c r="C47" i="34"/>
  <c r="C15" i="34"/>
  <c r="C126" i="34"/>
  <c r="C110" i="34"/>
  <c r="C94" i="34"/>
  <c r="C78" i="34"/>
  <c r="C62" i="34"/>
  <c r="C38" i="34"/>
  <c r="G6" i="34"/>
  <c r="AC6" i="34" s="1"/>
  <c r="C125" i="34"/>
  <c r="C61" i="34"/>
  <c r="C72" i="34"/>
  <c r="C24" i="34"/>
  <c r="C71" i="34"/>
  <c r="C7" i="34"/>
  <c r="C122" i="34"/>
  <c r="C106" i="34"/>
  <c r="C74" i="34"/>
  <c r="C58" i="34"/>
  <c r="C30" i="34"/>
  <c r="G7" i="34"/>
  <c r="AC7" i="34" s="1"/>
  <c r="C11" i="34"/>
  <c r="J40" i="33"/>
  <c r="J28" i="35" s="1"/>
  <c r="C9" i="34"/>
  <c r="N5" i="34"/>
  <c r="G10" i="34"/>
  <c r="AC10" i="34" s="1"/>
  <c r="C12" i="34"/>
  <c r="C6" i="34"/>
  <c r="E40" i="33"/>
  <c r="E36" i="33" s="1"/>
  <c r="C5" i="34"/>
  <c r="J36" i="33"/>
  <c r="F40" i="33"/>
  <c r="F36" i="33" s="1"/>
  <c r="H40" i="33"/>
  <c r="H28" i="35" s="1"/>
  <c r="G40" i="33"/>
  <c r="G36" i="33" s="1"/>
  <c r="U40" i="33"/>
  <c r="U28" i="35" s="1"/>
  <c r="V40" i="33"/>
  <c r="P40" i="33"/>
  <c r="P28" i="35" s="1"/>
  <c r="M40" i="33"/>
  <c r="M28" i="35" s="1"/>
  <c r="O40" i="33"/>
  <c r="O28" i="35" s="1"/>
  <c r="R40" i="33"/>
  <c r="R28" i="35" s="1"/>
  <c r="Q40" i="33"/>
  <c r="Q28" i="35" s="1"/>
  <c r="X40" i="33"/>
  <c r="W40" i="33"/>
  <c r="T40" i="33"/>
  <c r="T28" i="35" s="1"/>
  <c r="S40" i="33"/>
  <c r="S28" i="35" s="1"/>
  <c r="L40" i="33"/>
  <c r="L28" i="35" s="1"/>
  <c r="I40" i="33"/>
  <c r="I28" i="35" s="1"/>
  <c r="I100" i="23" s="1"/>
  <c r="K40" i="33"/>
  <c r="K28" i="35" s="1"/>
  <c r="K100" i="23" s="1"/>
  <c r="N40" i="33"/>
  <c r="N28" i="35" s="1"/>
  <c r="U109" i="29" l="1"/>
  <c r="U108" i="29"/>
  <c r="AD5" i="34"/>
  <c r="J18" i="35"/>
  <c r="J102" i="29"/>
  <c r="J19" i="35" s="1"/>
  <c r="I46" i="35" s="1"/>
  <c r="S109" i="29"/>
  <c r="S29" i="35" s="1"/>
  <c r="O109" i="29"/>
  <c r="O29" i="35" s="1"/>
  <c r="K109" i="29"/>
  <c r="K29" i="35" s="1"/>
  <c r="S108" i="29"/>
  <c r="O108" i="29"/>
  <c r="O31" i="35" s="1"/>
  <c r="T109" i="29"/>
  <c r="T29" i="35" s="1"/>
  <c r="P109" i="29"/>
  <c r="P29" i="35" s="1"/>
  <c r="T108" i="29"/>
  <c r="T31" i="35" s="1"/>
  <c r="R109" i="29"/>
  <c r="R29" i="35" s="1"/>
  <c r="N109" i="29"/>
  <c r="N29" i="35" s="1"/>
  <c r="J109" i="29"/>
  <c r="J29" i="35" s="1"/>
  <c r="R108" i="29"/>
  <c r="R31" i="35" s="1"/>
  <c r="N108" i="29"/>
  <c r="N31" i="35" s="1"/>
  <c r="L108" i="29"/>
  <c r="L31" i="35" s="1"/>
  <c r="Q109" i="29"/>
  <c r="Q29" i="35" s="1"/>
  <c r="M109" i="29"/>
  <c r="M29" i="35" s="1"/>
  <c r="Q108" i="29"/>
  <c r="Q31" i="35" s="1"/>
  <c r="M108" i="29"/>
  <c r="M31" i="35" s="1"/>
  <c r="L109" i="29"/>
  <c r="L29" i="35" s="1"/>
  <c r="P108" i="29"/>
  <c r="G110" i="29"/>
  <c r="F110" i="29"/>
  <c r="E110" i="29"/>
  <c r="M36" i="33"/>
  <c r="M18" i="35" s="1"/>
  <c r="M100" i="23" s="1"/>
  <c r="U36" i="33"/>
  <c r="U18" i="35" s="1"/>
  <c r="U37" i="35" s="1"/>
  <c r="I37" i="35"/>
  <c r="S36" i="33"/>
  <c r="S18" i="35" s="1"/>
  <c r="S100" i="23" s="1"/>
  <c r="Q36" i="33"/>
  <c r="Q18" i="35" s="1"/>
  <c r="Q100" i="23" s="1"/>
  <c r="P36" i="33"/>
  <c r="P18" i="35" s="1"/>
  <c r="P100" i="23" s="1"/>
  <c r="X36" i="33"/>
  <c r="L36" i="33"/>
  <c r="L18" i="35" s="1"/>
  <c r="L100" i="23" s="1"/>
  <c r="T36" i="33"/>
  <c r="T18" i="35" s="1"/>
  <c r="T100" i="23" s="1"/>
  <c r="R36" i="33"/>
  <c r="R18" i="35" s="1"/>
  <c r="R100" i="23" s="1"/>
  <c r="H36" i="33"/>
  <c r="N36" i="33"/>
  <c r="N18" i="35" s="1"/>
  <c r="N100" i="23" s="1"/>
  <c r="W36" i="33"/>
  <c r="O36" i="33"/>
  <c r="O18" i="35" s="1"/>
  <c r="O100" i="23" s="1"/>
  <c r="V36" i="33"/>
  <c r="L10" i="35"/>
  <c r="J5" i="34"/>
  <c r="U31" i="35" l="1"/>
  <c r="U110" i="29"/>
  <c r="AF5" i="34"/>
  <c r="J37" i="35"/>
  <c r="J100" i="23"/>
  <c r="I110" i="29"/>
  <c r="I31" i="35"/>
  <c r="P110" i="29"/>
  <c r="P31" i="35"/>
  <c r="H110" i="29"/>
  <c r="H31" i="35"/>
  <c r="S110" i="29"/>
  <c r="S31" i="35"/>
  <c r="R110" i="29"/>
  <c r="M110" i="29"/>
  <c r="T110" i="29"/>
  <c r="O110" i="29"/>
  <c r="Q110" i="29"/>
  <c r="L110" i="29"/>
  <c r="N110" i="29"/>
  <c r="L11" i="35"/>
  <c r="M10" i="35"/>
  <c r="B6" i="34"/>
  <c r="X6" i="34" s="1"/>
  <c r="G125" i="27"/>
  <c r="G81" i="23" s="1"/>
  <c r="H79" i="27"/>
  <c r="H78" i="27" s="1"/>
  <c r="G79" i="27"/>
  <c r="G78" i="27" s="1"/>
  <c r="M11" i="35" l="1"/>
  <c r="N10" i="35"/>
  <c r="N11" i="35" l="1"/>
  <c r="O10" i="35"/>
  <c r="J6" i="34"/>
  <c r="AF6" i="34" l="1"/>
  <c r="O11" i="35"/>
  <c r="P10" i="35"/>
  <c r="B7" i="34"/>
  <c r="X7" i="34" s="1"/>
  <c r="Q10" i="35" l="1"/>
  <c r="P11" i="35"/>
  <c r="Q11" i="35" l="1"/>
  <c r="R10" i="35"/>
  <c r="J7" i="34"/>
  <c r="AF7" i="34" s="1"/>
  <c r="S10" i="35" l="1"/>
  <c r="B8" i="34"/>
  <c r="X8" i="34" s="1"/>
  <c r="S11" i="35" l="1"/>
  <c r="T10" i="35"/>
  <c r="U10" i="35" s="1"/>
  <c r="U11" i="35" l="1"/>
  <c r="U41" i="35" s="1"/>
  <c r="J8" i="34"/>
  <c r="AF8" i="34" s="1"/>
  <c r="B9" i="34" l="1"/>
  <c r="X9" i="34" s="1"/>
  <c r="J9" i="34" l="1"/>
  <c r="AF9" i="34" s="1"/>
  <c r="B10" i="34" l="1"/>
  <c r="X10" i="34" s="1"/>
  <c r="J10" i="34" l="1"/>
  <c r="AF10" i="34" s="1"/>
  <c r="B11" i="34" l="1"/>
  <c r="X11" i="34" s="1"/>
  <c r="J11" i="34" l="1"/>
  <c r="AF11" i="34" s="1"/>
  <c r="B12" i="34" l="1"/>
  <c r="X12" i="34" s="1"/>
  <c r="J12" i="34" l="1"/>
  <c r="AF12" i="34" s="1"/>
  <c r="B13" i="34" l="1"/>
  <c r="G13" i="34" l="1"/>
  <c r="X13" i="34"/>
  <c r="J13" i="34" l="1"/>
  <c r="AF13" i="34" s="1"/>
  <c r="AC13" i="34"/>
  <c r="B14" i="34" l="1"/>
  <c r="X14" i="34" s="1"/>
  <c r="G14" i="34" l="1"/>
  <c r="J14" i="34" s="1"/>
  <c r="AF14" i="34" s="1"/>
  <c r="AC14" i="34" l="1"/>
  <c r="B15" i="34"/>
  <c r="X15" i="34" s="1"/>
  <c r="G15" i="34" l="1"/>
  <c r="AC15" i="34" s="1"/>
  <c r="J15" i="34" l="1"/>
  <c r="AF15" i="34" s="1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E61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E50" i="29"/>
  <c r="F98" i="23"/>
  <c r="E98" i="23"/>
  <c r="H55" i="23"/>
  <c r="H56" i="23"/>
  <c r="H57" i="23"/>
  <c r="H58" i="23"/>
  <c r="H59" i="23"/>
  <c r="H60" i="23"/>
  <c r="H61" i="23"/>
  <c r="H63" i="23"/>
  <c r="H40" i="23"/>
  <c r="H41" i="23"/>
  <c r="H42" i="23"/>
  <c r="H43" i="23"/>
  <c r="H44" i="23"/>
  <c r="I44" i="23" s="1"/>
  <c r="J44" i="23" s="1"/>
  <c r="K44" i="23" s="1"/>
  <c r="L44" i="23" s="1"/>
  <c r="M44" i="23" s="1"/>
  <c r="N44" i="23" s="1"/>
  <c r="O44" i="23" s="1"/>
  <c r="P44" i="23" s="1"/>
  <c r="Q44" i="23" s="1"/>
  <c r="R44" i="23" s="1"/>
  <c r="S44" i="23" s="1"/>
  <c r="T44" i="23" s="1"/>
  <c r="H45" i="23"/>
  <c r="I45" i="23" s="1"/>
  <c r="J45" i="23" s="1"/>
  <c r="K45" i="23" s="1"/>
  <c r="L45" i="23" s="1"/>
  <c r="M45" i="23" s="1"/>
  <c r="N45" i="23" s="1"/>
  <c r="O45" i="23" s="1"/>
  <c r="P45" i="23" s="1"/>
  <c r="Q45" i="23" s="1"/>
  <c r="R45" i="23" s="1"/>
  <c r="S45" i="23" s="1"/>
  <c r="T45" i="23" s="1"/>
  <c r="H47" i="23"/>
  <c r="H48" i="23"/>
  <c r="H51" i="23"/>
  <c r="H31" i="23"/>
  <c r="H28" i="23"/>
  <c r="H24" i="23"/>
  <c r="H25" i="23"/>
  <c r="H26" i="23"/>
  <c r="H20" i="23"/>
  <c r="I20" i="23" s="1"/>
  <c r="J20" i="23" s="1"/>
  <c r="H21" i="23"/>
  <c r="H22" i="23"/>
  <c r="I22" i="23" s="1"/>
  <c r="J22" i="23" s="1"/>
  <c r="K22" i="23" s="1"/>
  <c r="L22" i="23" s="1"/>
  <c r="M22" i="23" s="1"/>
  <c r="N22" i="23" s="1"/>
  <c r="O22" i="23" s="1"/>
  <c r="P22" i="23" s="1"/>
  <c r="Q22" i="23" s="1"/>
  <c r="R22" i="23" s="1"/>
  <c r="S22" i="23" s="1"/>
  <c r="T22" i="23" s="1"/>
  <c r="H11" i="23"/>
  <c r="H12" i="23"/>
  <c r="H13" i="23"/>
  <c r="H14" i="23"/>
  <c r="H15" i="23"/>
  <c r="H17" i="23"/>
  <c r="H18" i="23"/>
  <c r="H16" i="23"/>
  <c r="H125" i="27"/>
  <c r="H81" i="23" s="1"/>
  <c r="F76" i="23"/>
  <c r="G76" i="23"/>
  <c r="H76" i="23"/>
  <c r="I76" i="23"/>
  <c r="J76" i="23"/>
  <c r="K76" i="23"/>
  <c r="L76" i="23"/>
  <c r="M76" i="23"/>
  <c r="N76" i="23"/>
  <c r="O76" i="23"/>
  <c r="P76" i="23"/>
  <c r="Q76" i="23"/>
  <c r="R76" i="23"/>
  <c r="S76" i="23"/>
  <c r="T76" i="23"/>
  <c r="E7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E36" i="23"/>
  <c r="F3" i="23"/>
  <c r="G3" i="23"/>
  <c r="H3" i="23"/>
  <c r="I3" i="23"/>
  <c r="J3" i="23"/>
  <c r="K3" i="23"/>
  <c r="L3" i="23"/>
  <c r="M3" i="23"/>
  <c r="N3" i="23"/>
  <c r="O3" i="23"/>
  <c r="P3" i="23"/>
  <c r="Q3" i="23"/>
  <c r="R3" i="23"/>
  <c r="S3" i="23"/>
  <c r="T3" i="23"/>
  <c r="E3" i="23"/>
  <c r="E181" i="27"/>
  <c r="B16" i="34" l="1"/>
  <c r="G16" i="34" s="1"/>
  <c r="AC16" i="34" s="1"/>
  <c r="L48" i="23"/>
  <c r="P48" i="23"/>
  <c r="T48" i="23"/>
  <c r="S48" i="23"/>
  <c r="M48" i="23"/>
  <c r="Q48" i="23"/>
  <c r="I48" i="23"/>
  <c r="O48" i="23"/>
  <c r="J48" i="23"/>
  <c r="N48" i="23"/>
  <c r="R48" i="23"/>
  <c r="K48" i="23"/>
  <c r="L47" i="23"/>
  <c r="P47" i="23"/>
  <c r="T47" i="23"/>
  <c r="M47" i="23"/>
  <c r="Q47" i="23"/>
  <c r="I47" i="23"/>
  <c r="K47" i="23"/>
  <c r="S47" i="23"/>
  <c r="J47" i="23"/>
  <c r="N47" i="23"/>
  <c r="R47" i="23"/>
  <c r="O47" i="23"/>
  <c r="H47" i="27"/>
  <c r="H56" i="27" s="1"/>
  <c r="I189" i="27"/>
  <c r="J189" i="27"/>
  <c r="J16" i="34" l="1"/>
  <c r="X16" i="34"/>
  <c r="AF16" i="34" l="1"/>
  <c r="B17" i="34"/>
  <c r="G17" i="34" l="1"/>
  <c r="AC17" i="34" s="1"/>
  <c r="X17" i="34"/>
  <c r="J17" i="34" l="1"/>
  <c r="AF17" i="34" l="1"/>
  <c r="B18" i="34"/>
  <c r="G18" i="34" l="1"/>
  <c r="X18" i="34"/>
  <c r="T94" i="29"/>
  <c r="L94" i="29"/>
  <c r="M94" i="29"/>
  <c r="N94" i="29"/>
  <c r="O94" i="29"/>
  <c r="P94" i="29"/>
  <c r="Q94" i="29"/>
  <c r="R94" i="29"/>
  <c r="S94" i="29"/>
  <c r="F94" i="29"/>
  <c r="G94" i="29"/>
  <c r="H94" i="29"/>
  <c r="I94" i="29"/>
  <c r="J94" i="29"/>
  <c r="K94" i="29"/>
  <c r="E94" i="29"/>
  <c r="E7" i="29"/>
  <c r="F7" i="29"/>
  <c r="E8" i="29"/>
  <c r="F8" i="29"/>
  <c r="E9" i="29"/>
  <c r="F9" i="29"/>
  <c r="E10" i="29"/>
  <c r="F10" i="29"/>
  <c r="E11" i="29"/>
  <c r="F11" i="29"/>
  <c r="G7" i="29"/>
  <c r="I18" i="29" s="1"/>
  <c r="G8" i="29"/>
  <c r="G9" i="29"/>
  <c r="G10" i="29"/>
  <c r="G11" i="29"/>
  <c r="I28" i="29"/>
  <c r="I29" i="29"/>
  <c r="I30" i="29"/>
  <c r="I31" i="29"/>
  <c r="I32" i="29"/>
  <c r="I33" i="29"/>
  <c r="J28" i="29"/>
  <c r="K28" i="29"/>
  <c r="L28" i="29"/>
  <c r="M28" i="29"/>
  <c r="N28" i="29"/>
  <c r="O28" i="29"/>
  <c r="P28" i="29"/>
  <c r="Q28" i="29"/>
  <c r="R28" i="29"/>
  <c r="S28" i="29"/>
  <c r="T28" i="29"/>
  <c r="J29" i="29"/>
  <c r="K29" i="29"/>
  <c r="L29" i="29"/>
  <c r="M29" i="29"/>
  <c r="N29" i="29"/>
  <c r="O29" i="29"/>
  <c r="P29" i="29"/>
  <c r="Q29" i="29"/>
  <c r="R29" i="29"/>
  <c r="S29" i="29"/>
  <c r="T29" i="29"/>
  <c r="J30" i="29"/>
  <c r="K30" i="29"/>
  <c r="L30" i="29"/>
  <c r="M30" i="29"/>
  <c r="N30" i="29"/>
  <c r="O30" i="29"/>
  <c r="P30" i="29"/>
  <c r="Q30" i="29"/>
  <c r="R30" i="29"/>
  <c r="S30" i="29"/>
  <c r="T30" i="29"/>
  <c r="J31" i="29"/>
  <c r="K31" i="29"/>
  <c r="L31" i="29"/>
  <c r="M31" i="29"/>
  <c r="N31" i="29"/>
  <c r="O31" i="29"/>
  <c r="P31" i="29"/>
  <c r="Q31" i="29"/>
  <c r="R31" i="29"/>
  <c r="S31" i="29"/>
  <c r="T31" i="29"/>
  <c r="J32" i="29"/>
  <c r="K32" i="29"/>
  <c r="L32" i="29"/>
  <c r="M32" i="29"/>
  <c r="N32" i="29"/>
  <c r="O32" i="29"/>
  <c r="P32" i="29"/>
  <c r="Q32" i="29"/>
  <c r="R32" i="29"/>
  <c r="S32" i="29"/>
  <c r="T32" i="29"/>
  <c r="J33" i="29"/>
  <c r="K33" i="29"/>
  <c r="L33" i="29"/>
  <c r="M33" i="29"/>
  <c r="N33" i="29"/>
  <c r="O33" i="29"/>
  <c r="P33" i="29"/>
  <c r="Q33" i="29"/>
  <c r="R33" i="29"/>
  <c r="S33" i="29"/>
  <c r="T33" i="29"/>
  <c r="AC18" i="34" l="1"/>
  <c r="J18" i="34"/>
  <c r="AF18" i="34" l="1"/>
  <c r="B19" i="34"/>
  <c r="G19" i="34" l="1"/>
  <c r="AC19" i="34" s="1"/>
  <c r="X19" i="34"/>
  <c r="E68" i="23"/>
  <c r="G15" i="23"/>
  <c r="F15" i="23"/>
  <c r="E15" i="23"/>
  <c r="E108" i="23"/>
  <c r="F108" i="23"/>
  <c r="G108" i="23"/>
  <c r="E99" i="23"/>
  <c r="F99" i="23"/>
  <c r="E101" i="23"/>
  <c r="E102" i="23"/>
  <c r="F102" i="23"/>
  <c r="E103" i="23"/>
  <c r="E104" i="23"/>
  <c r="F104" i="23"/>
  <c r="F90" i="23" s="1"/>
  <c r="E105" i="23"/>
  <c r="J19" i="34" l="1"/>
  <c r="F101" i="23"/>
  <c r="AF19" i="34" l="1"/>
  <c r="B20" i="34"/>
  <c r="X20" i="34" l="1"/>
  <c r="G20" i="34"/>
  <c r="AC20" i="34" s="1"/>
  <c r="R11" i="35"/>
  <c r="J20" i="34" l="1"/>
  <c r="T11" i="35"/>
  <c r="AF20" i="34" l="1"/>
  <c r="B21" i="34"/>
  <c r="K7" i="27"/>
  <c r="J85" i="23"/>
  <c r="K85" i="23"/>
  <c r="L85" i="23"/>
  <c r="M85" i="23"/>
  <c r="N85" i="23"/>
  <c r="O85" i="23"/>
  <c r="P85" i="23"/>
  <c r="Q85" i="23"/>
  <c r="R85" i="23"/>
  <c r="S85" i="23"/>
  <c r="T85" i="23"/>
  <c r="H65" i="23"/>
  <c r="H66" i="23"/>
  <c r="H67" i="23"/>
  <c r="H69" i="23"/>
  <c r="H70" i="23"/>
  <c r="H71" i="23"/>
  <c r="I58" i="23"/>
  <c r="J58" i="23" s="1"/>
  <c r="K58" i="23" s="1"/>
  <c r="L58" i="23" s="1"/>
  <c r="M58" i="23" s="1"/>
  <c r="N58" i="23" s="1"/>
  <c r="O58" i="23" s="1"/>
  <c r="P58" i="23" s="1"/>
  <c r="Q58" i="23" s="1"/>
  <c r="R58" i="23" s="1"/>
  <c r="S58" i="23" s="1"/>
  <c r="T58" i="23" s="1"/>
  <c r="I51" i="23"/>
  <c r="F150" i="27"/>
  <c r="G150" i="27"/>
  <c r="H150" i="27"/>
  <c r="E150" i="27"/>
  <c r="H60" i="27"/>
  <c r="H64" i="27" s="1"/>
  <c r="H66" i="27" s="1"/>
  <c r="H76" i="27"/>
  <c r="H108" i="27"/>
  <c r="H124" i="27"/>
  <c r="H140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E5" i="27"/>
  <c r="K189" i="27"/>
  <c r="L189" i="27"/>
  <c r="M189" i="27"/>
  <c r="N189" i="27"/>
  <c r="O189" i="27"/>
  <c r="P189" i="27"/>
  <c r="Q189" i="27"/>
  <c r="R189" i="27"/>
  <c r="S189" i="27"/>
  <c r="T189" i="27"/>
  <c r="U189" i="27"/>
  <c r="T18" i="27"/>
  <c r="T62" i="29" s="1"/>
  <c r="U18" i="27"/>
  <c r="U62" i="29" s="1"/>
  <c r="T21" i="27"/>
  <c r="T63" i="29" s="1"/>
  <c r="U21" i="27"/>
  <c r="U63" i="29" s="1"/>
  <c r="T24" i="27"/>
  <c r="T64" i="29" s="1"/>
  <c r="U24" i="27"/>
  <c r="U64" i="29" s="1"/>
  <c r="T27" i="27"/>
  <c r="T65" i="29" s="1"/>
  <c r="U27" i="27"/>
  <c r="U65" i="29" s="1"/>
  <c r="T30" i="27"/>
  <c r="T66" i="29" s="1"/>
  <c r="U30" i="27"/>
  <c r="U66" i="29" s="1"/>
  <c r="T33" i="27"/>
  <c r="T67" i="29" s="1"/>
  <c r="U33" i="27"/>
  <c r="U67" i="29" s="1"/>
  <c r="T36" i="27"/>
  <c r="U36" i="27"/>
  <c r="I57" i="23"/>
  <c r="J57" i="23"/>
  <c r="K57" i="23"/>
  <c r="L57" i="23"/>
  <c r="M57" i="23"/>
  <c r="N57" i="23"/>
  <c r="O57" i="23"/>
  <c r="P57" i="23"/>
  <c r="Q57" i="23"/>
  <c r="R57" i="23"/>
  <c r="S57" i="23"/>
  <c r="T57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F62" i="29"/>
  <c r="G62" i="29"/>
  <c r="H62" i="29"/>
  <c r="F63" i="29"/>
  <c r="G63" i="29"/>
  <c r="H63" i="29"/>
  <c r="E62" i="29"/>
  <c r="E84" i="29" s="1"/>
  <c r="E63" i="29"/>
  <c r="F33" i="27"/>
  <c r="F67" i="29" s="1"/>
  <c r="G33" i="27"/>
  <c r="G67" i="29" s="1"/>
  <c r="H33" i="27"/>
  <c r="H67" i="29" s="1"/>
  <c r="I33" i="27"/>
  <c r="J33" i="27"/>
  <c r="K33" i="27"/>
  <c r="K67" i="29" s="1"/>
  <c r="L33" i="27"/>
  <c r="L67" i="29" s="1"/>
  <c r="M33" i="27"/>
  <c r="M67" i="29" s="1"/>
  <c r="N33" i="27"/>
  <c r="N67" i="29" s="1"/>
  <c r="O33" i="27"/>
  <c r="O67" i="29" s="1"/>
  <c r="P33" i="27"/>
  <c r="P67" i="29" s="1"/>
  <c r="Q33" i="27"/>
  <c r="Q67" i="29" s="1"/>
  <c r="R33" i="27"/>
  <c r="R67" i="29" s="1"/>
  <c r="S33" i="27"/>
  <c r="S67" i="29" s="1"/>
  <c r="F30" i="27"/>
  <c r="F66" i="29" s="1"/>
  <c r="G30" i="27"/>
  <c r="G66" i="29" s="1"/>
  <c r="H30" i="27"/>
  <c r="H66" i="29" s="1"/>
  <c r="I30" i="27"/>
  <c r="J30" i="27"/>
  <c r="K30" i="27"/>
  <c r="K66" i="29" s="1"/>
  <c r="L30" i="27"/>
  <c r="L66" i="29" s="1"/>
  <c r="M30" i="27"/>
  <c r="M66" i="29" s="1"/>
  <c r="N30" i="27"/>
  <c r="N66" i="29" s="1"/>
  <c r="O30" i="27"/>
  <c r="O66" i="29" s="1"/>
  <c r="P30" i="27"/>
  <c r="P66" i="29" s="1"/>
  <c r="Q30" i="27"/>
  <c r="Q66" i="29" s="1"/>
  <c r="R30" i="27"/>
  <c r="R66" i="29" s="1"/>
  <c r="S30" i="27"/>
  <c r="S66" i="29" s="1"/>
  <c r="E33" i="27"/>
  <c r="E67" i="29" s="1"/>
  <c r="E30" i="27"/>
  <c r="E66" i="29" s="1"/>
  <c r="H18" i="27"/>
  <c r="I18" i="27"/>
  <c r="I62" i="29" s="1"/>
  <c r="J18" i="27"/>
  <c r="J62" i="29" s="1"/>
  <c r="K18" i="27"/>
  <c r="K62" i="29" s="1"/>
  <c r="L18" i="27"/>
  <c r="L62" i="29" s="1"/>
  <c r="M18" i="27"/>
  <c r="M62" i="29" s="1"/>
  <c r="N18" i="27"/>
  <c r="N62" i="29" s="1"/>
  <c r="O18" i="27"/>
  <c r="O62" i="29" s="1"/>
  <c r="P18" i="27"/>
  <c r="P62" i="29" s="1"/>
  <c r="Q18" i="27"/>
  <c r="Q62" i="29" s="1"/>
  <c r="R18" i="27"/>
  <c r="R62" i="29" s="1"/>
  <c r="S18" i="27"/>
  <c r="S62" i="29" s="1"/>
  <c r="H21" i="27"/>
  <c r="I21" i="27"/>
  <c r="I63" i="29" s="1"/>
  <c r="J21" i="27"/>
  <c r="J63" i="29" s="1"/>
  <c r="K21" i="27"/>
  <c r="K63" i="29" s="1"/>
  <c r="L21" i="27"/>
  <c r="L63" i="29" s="1"/>
  <c r="M21" i="27"/>
  <c r="M63" i="29" s="1"/>
  <c r="N21" i="27"/>
  <c r="N63" i="29" s="1"/>
  <c r="O21" i="27"/>
  <c r="O63" i="29" s="1"/>
  <c r="P21" i="27"/>
  <c r="P63" i="29" s="1"/>
  <c r="Q21" i="27"/>
  <c r="Q63" i="29" s="1"/>
  <c r="R21" i="27"/>
  <c r="R63" i="29" s="1"/>
  <c r="S21" i="27"/>
  <c r="S63" i="29" s="1"/>
  <c r="H24" i="27"/>
  <c r="H64" i="29" s="1"/>
  <c r="I24" i="27"/>
  <c r="I64" i="29" s="1"/>
  <c r="J24" i="27"/>
  <c r="J64" i="29" s="1"/>
  <c r="K24" i="27"/>
  <c r="K64" i="29" s="1"/>
  <c r="L24" i="27"/>
  <c r="L64" i="29" s="1"/>
  <c r="M24" i="27"/>
  <c r="M64" i="29" s="1"/>
  <c r="N24" i="27"/>
  <c r="N64" i="29" s="1"/>
  <c r="O24" i="27"/>
  <c r="O64" i="29" s="1"/>
  <c r="P24" i="27"/>
  <c r="P64" i="29" s="1"/>
  <c r="Q24" i="27"/>
  <c r="Q64" i="29" s="1"/>
  <c r="R24" i="27"/>
  <c r="R64" i="29" s="1"/>
  <c r="S24" i="27"/>
  <c r="S64" i="29" s="1"/>
  <c r="H27" i="27"/>
  <c r="I27" i="27"/>
  <c r="I65" i="29" s="1"/>
  <c r="J27" i="27"/>
  <c r="J65" i="29" s="1"/>
  <c r="K27" i="27"/>
  <c r="K65" i="29" s="1"/>
  <c r="L27" i="27"/>
  <c r="L65" i="29" s="1"/>
  <c r="M27" i="27"/>
  <c r="M65" i="29" s="1"/>
  <c r="N27" i="27"/>
  <c r="N65" i="29" s="1"/>
  <c r="O27" i="27"/>
  <c r="O65" i="29" s="1"/>
  <c r="P27" i="27"/>
  <c r="P65" i="29" s="1"/>
  <c r="Q27" i="27"/>
  <c r="Q65" i="29" s="1"/>
  <c r="R27" i="27"/>
  <c r="R65" i="29" s="1"/>
  <c r="S27" i="27"/>
  <c r="S65" i="29" s="1"/>
  <c r="H36" i="27"/>
  <c r="I36" i="27"/>
  <c r="J36" i="27"/>
  <c r="K36" i="27"/>
  <c r="L36" i="27"/>
  <c r="M36" i="27"/>
  <c r="N36" i="27"/>
  <c r="O36" i="27"/>
  <c r="P36" i="27"/>
  <c r="Q36" i="27"/>
  <c r="R36" i="27"/>
  <c r="S36" i="27"/>
  <c r="U68" i="29" l="1"/>
  <c r="P6" i="34"/>
  <c r="P14" i="34"/>
  <c r="E43" i="34"/>
  <c r="P13" i="34"/>
  <c r="Q13" i="34" s="1"/>
  <c r="S13" i="34" s="1"/>
  <c r="E40" i="34"/>
  <c r="E39" i="34"/>
  <c r="P8" i="34"/>
  <c r="Q8" i="34" s="1"/>
  <c r="P7" i="34"/>
  <c r="Q7" i="34" s="1"/>
  <c r="P9" i="34"/>
  <c r="Q9" i="34" s="1"/>
  <c r="E120" i="34"/>
  <c r="P12" i="34"/>
  <c r="Q12" i="34" s="1"/>
  <c r="P11" i="34"/>
  <c r="Q11" i="34" s="1"/>
  <c r="P10" i="34"/>
  <c r="E90" i="34"/>
  <c r="E11" i="34"/>
  <c r="F11" i="34" s="1"/>
  <c r="E92" i="34"/>
  <c r="E82" i="34"/>
  <c r="E127" i="34"/>
  <c r="E106" i="34"/>
  <c r="E42" i="34"/>
  <c r="E14" i="34"/>
  <c r="F14" i="34" s="1"/>
  <c r="H14" i="34" s="1"/>
  <c r="E100" i="34"/>
  <c r="E9" i="34"/>
  <c r="F9" i="34" s="1"/>
  <c r="E78" i="34"/>
  <c r="E19" i="34"/>
  <c r="F19" i="34" s="1"/>
  <c r="H19" i="34" s="1"/>
  <c r="E68" i="34"/>
  <c r="E87" i="34"/>
  <c r="E21" i="34"/>
  <c r="F21" i="34" s="1"/>
  <c r="H21" i="34" s="1"/>
  <c r="E45" i="34"/>
  <c r="E25" i="34"/>
  <c r="E61" i="34"/>
  <c r="E49" i="34"/>
  <c r="E23" i="34"/>
  <c r="E34" i="34"/>
  <c r="E71" i="34"/>
  <c r="E115" i="34"/>
  <c r="E96" i="34"/>
  <c r="E95" i="34"/>
  <c r="E94" i="34"/>
  <c r="E33" i="34"/>
  <c r="E57" i="34"/>
  <c r="E123" i="34"/>
  <c r="E37" i="34"/>
  <c r="E109" i="34"/>
  <c r="E89" i="34"/>
  <c r="E5" i="34"/>
  <c r="E27" i="34"/>
  <c r="E10" i="34"/>
  <c r="F10" i="34" s="1"/>
  <c r="E52" i="34"/>
  <c r="E108" i="34"/>
  <c r="E86" i="34"/>
  <c r="E51" i="34"/>
  <c r="E130" i="34"/>
  <c r="E121" i="34"/>
  <c r="E12" i="34"/>
  <c r="F12" i="34" s="1"/>
  <c r="E7" i="34"/>
  <c r="F7" i="34" s="1"/>
  <c r="E83" i="34"/>
  <c r="E16" i="34"/>
  <c r="F16" i="34" s="1"/>
  <c r="H16" i="34" s="1"/>
  <c r="E70" i="34"/>
  <c r="E125" i="34"/>
  <c r="E65" i="34"/>
  <c r="E55" i="34"/>
  <c r="E107" i="34"/>
  <c r="E30" i="34"/>
  <c r="E15" i="34"/>
  <c r="E17" i="34"/>
  <c r="F17" i="34" s="1"/>
  <c r="H17" i="34" s="1"/>
  <c r="E131" i="34"/>
  <c r="E48" i="34"/>
  <c r="E101" i="34"/>
  <c r="E22" i="34"/>
  <c r="E104" i="34"/>
  <c r="E110" i="34"/>
  <c r="E88" i="34"/>
  <c r="E80" i="34"/>
  <c r="E63" i="34"/>
  <c r="E62" i="34"/>
  <c r="E129" i="34"/>
  <c r="E85" i="34"/>
  <c r="E56" i="34"/>
  <c r="E47" i="34"/>
  <c r="E97" i="34"/>
  <c r="E29" i="34"/>
  <c r="E64" i="34"/>
  <c r="E31" i="34"/>
  <c r="E50" i="34"/>
  <c r="E75" i="34"/>
  <c r="E38" i="34"/>
  <c r="E113" i="34"/>
  <c r="E18" i="34"/>
  <c r="F18" i="34" s="1"/>
  <c r="H18" i="34" s="1"/>
  <c r="E26" i="34"/>
  <c r="E126" i="34"/>
  <c r="E20" i="34"/>
  <c r="F20" i="34" s="1"/>
  <c r="H20" i="34" s="1"/>
  <c r="E54" i="34"/>
  <c r="E67" i="34"/>
  <c r="E122" i="34"/>
  <c r="E60" i="34"/>
  <c r="E81" i="34"/>
  <c r="E46" i="34"/>
  <c r="E112" i="34"/>
  <c r="E132" i="34"/>
  <c r="E102" i="34"/>
  <c r="P5" i="34"/>
  <c r="E28" i="34"/>
  <c r="E105" i="34"/>
  <c r="E91" i="34"/>
  <c r="E103" i="34"/>
  <c r="E111" i="34"/>
  <c r="E98" i="34"/>
  <c r="E41" i="34"/>
  <c r="E58" i="34"/>
  <c r="E76" i="34"/>
  <c r="E117" i="34"/>
  <c r="E66" i="34"/>
  <c r="E128" i="34"/>
  <c r="E35" i="34"/>
  <c r="E118" i="34"/>
  <c r="E79" i="34"/>
  <c r="E99" i="34"/>
  <c r="E53" i="34"/>
  <c r="E13" i="34"/>
  <c r="F13" i="34" s="1"/>
  <c r="E44" i="34"/>
  <c r="E8" i="34"/>
  <c r="F8" i="34" s="1"/>
  <c r="E119" i="34"/>
  <c r="E93" i="34"/>
  <c r="E24" i="34"/>
  <c r="E124" i="34"/>
  <c r="E69" i="34"/>
  <c r="E114" i="34"/>
  <c r="E73" i="34"/>
  <c r="E36" i="34"/>
  <c r="E74" i="34"/>
  <c r="E77" i="34"/>
  <c r="E6" i="34"/>
  <c r="F6" i="34" s="1"/>
  <c r="E32" i="34"/>
  <c r="E72" i="34"/>
  <c r="E116" i="34"/>
  <c r="E59" i="34"/>
  <c r="E84" i="34"/>
  <c r="G21" i="34"/>
  <c r="X21" i="34"/>
  <c r="AA37" i="34"/>
  <c r="AA47" i="34"/>
  <c r="AA100" i="34"/>
  <c r="AA124" i="34"/>
  <c r="AA57" i="34"/>
  <c r="AA75" i="34"/>
  <c r="AA17" i="34"/>
  <c r="AA27" i="34"/>
  <c r="AA81" i="34"/>
  <c r="AA95" i="34"/>
  <c r="AA59" i="34"/>
  <c r="AA12" i="34"/>
  <c r="AA8" i="34"/>
  <c r="AA5" i="34"/>
  <c r="AA102" i="34"/>
  <c r="AA13" i="34"/>
  <c r="AA69" i="34"/>
  <c r="AA14" i="34"/>
  <c r="AA87" i="34"/>
  <c r="AA63" i="34"/>
  <c r="AA11" i="34"/>
  <c r="AA97" i="34"/>
  <c r="AA9" i="34"/>
  <c r="AA105" i="34"/>
  <c r="AA119" i="34"/>
  <c r="AA99" i="34"/>
  <c r="AA41" i="34"/>
  <c r="AA84" i="34"/>
  <c r="AA61" i="34"/>
  <c r="AA39" i="34"/>
  <c r="AA20" i="34"/>
  <c r="AA118" i="34"/>
  <c r="AA98" i="34"/>
  <c r="AA78" i="34"/>
  <c r="AA58" i="34"/>
  <c r="AA42" i="34"/>
  <c r="AA26" i="34"/>
  <c r="AA115" i="34"/>
  <c r="AA93" i="34"/>
  <c r="AA71" i="34"/>
  <c r="AA43" i="34"/>
  <c r="AA19" i="34"/>
  <c r="AA117" i="34"/>
  <c r="AA6" i="34"/>
  <c r="AA73" i="34"/>
  <c r="AA123" i="34"/>
  <c r="AA121" i="34"/>
  <c r="AA108" i="34"/>
  <c r="AA31" i="34"/>
  <c r="AA72" i="34"/>
  <c r="AA126" i="34"/>
  <c r="AA110" i="34"/>
  <c r="AA66" i="34"/>
  <c r="AA34" i="34"/>
  <c r="AA104" i="34"/>
  <c r="AA60" i="34"/>
  <c r="AA18" i="34"/>
  <c r="AA10" i="34"/>
  <c r="AA68" i="34"/>
  <c r="AA107" i="34"/>
  <c r="AA116" i="34"/>
  <c r="AA103" i="34"/>
  <c r="AA21" i="34"/>
  <c r="AA44" i="34"/>
  <c r="AA122" i="34"/>
  <c r="AA62" i="34"/>
  <c r="AA30" i="34"/>
  <c r="AA96" i="34"/>
  <c r="AA52" i="34"/>
  <c r="AA128" i="34"/>
  <c r="AA89" i="34"/>
  <c r="AA127" i="34"/>
  <c r="AA49" i="34"/>
  <c r="AA130" i="34"/>
  <c r="AA77" i="34"/>
  <c r="AA32" i="34"/>
  <c r="AA132" i="34"/>
  <c r="AA94" i="34"/>
  <c r="AA131" i="34"/>
  <c r="AA74" i="34"/>
  <c r="AA113" i="34"/>
  <c r="AA91" i="34"/>
  <c r="AA36" i="34"/>
  <c r="AA80" i="34"/>
  <c r="AA53" i="34"/>
  <c r="AA35" i="34"/>
  <c r="AA16" i="34"/>
  <c r="AA114" i="34"/>
  <c r="AA90" i="34"/>
  <c r="AA70" i="34"/>
  <c r="AA54" i="34"/>
  <c r="AA38" i="34"/>
  <c r="AA22" i="34"/>
  <c r="AA109" i="34"/>
  <c r="AA88" i="34"/>
  <c r="AA65" i="34"/>
  <c r="AA33" i="34"/>
  <c r="AA15" i="34"/>
  <c r="AA51" i="34"/>
  <c r="AA111" i="34"/>
  <c r="AA125" i="34"/>
  <c r="AA23" i="34"/>
  <c r="AA56" i="34"/>
  <c r="AA64" i="34"/>
  <c r="AA85" i="34"/>
  <c r="AA48" i="34"/>
  <c r="AA29" i="34"/>
  <c r="AA86" i="34"/>
  <c r="AA50" i="34"/>
  <c r="AA129" i="34"/>
  <c r="AA83" i="34"/>
  <c r="AA28" i="34"/>
  <c r="AA112" i="34"/>
  <c r="AA40" i="34"/>
  <c r="AA101" i="34"/>
  <c r="AA92" i="34"/>
  <c r="AA7" i="34"/>
  <c r="AA45" i="34"/>
  <c r="AA55" i="34"/>
  <c r="AA76" i="34"/>
  <c r="AA67" i="34"/>
  <c r="AA25" i="34"/>
  <c r="AA106" i="34"/>
  <c r="AA82" i="34"/>
  <c r="AA46" i="34"/>
  <c r="AA120" i="34"/>
  <c r="AA79" i="34"/>
  <c r="AA24" i="34"/>
  <c r="Q6" i="34"/>
  <c r="S6" i="34" s="1"/>
  <c r="Q10" i="34"/>
  <c r="Q14" i="34"/>
  <c r="F15" i="34"/>
  <c r="H15" i="34" s="1"/>
  <c r="L7" i="27"/>
  <c r="J51" i="23"/>
  <c r="K51" i="23" s="1"/>
  <c r="L51" i="23" s="1"/>
  <c r="M51" i="23" s="1"/>
  <c r="N51" i="23" s="1"/>
  <c r="O51" i="23" s="1"/>
  <c r="P51" i="23" s="1"/>
  <c r="Q51" i="23" s="1"/>
  <c r="R51" i="23" s="1"/>
  <c r="S51" i="23" s="1"/>
  <c r="T51" i="23" s="1"/>
  <c r="J67" i="29"/>
  <c r="J66" i="29"/>
  <c r="I85" i="23"/>
  <c r="I67" i="29"/>
  <c r="H65" i="29"/>
  <c r="I66" i="29"/>
  <c r="U17" i="27"/>
  <c r="T17" i="27"/>
  <c r="T37" i="35" s="1"/>
  <c r="H106" i="23"/>
  <c r="I89" i="23"/>
  <c r="M17" i="27"/>
  <c r="M37" i="35" s="1"/>
  <c r="Q17" i="27"/>
  <c r="Q37" i="35" s="1"/>
  <c r="P17" i="27"/>
  <c r="P37" i="35" s="1"/>
  <c r="L17" i="27"/>
  <c r="L37" i="35" s="1"/>
  <c r="H17" i="27"/>
  <c r="H18" i="35" s="1"/>
  <c r="E88" i="29"/>
  <c r="F77" i="29" s="1"/>
  <c r="E85" i="29"/>
  <c r="F74" i="29" s="1"/>
  <c r="F73" i="29"/>
  <c r="E89" i="29"/>
  <c r="F78" i="29" s="1"/>
  <c r="R17" i="27"/>
  <c r="R37" i="35" s="1"/>
  <c r="N17" i="27"/>
  <c r="N37" i="35" s="1"/>
  <c r="J17" i="27"/>
  <c r="S17" i="27"/>
  <c r="S37" i="35" s="1"/>
  <c r="O17" i="27"/>
  <c r="O37" i="35" s="1"/>
  <c r="K17" i="27"/>
  <c r="K37" i="35" s="1"/>
  <c r="I17" i="27"/>
  <c r="I39" i="27" s="1"/>
  <c r="E160" i="27"/>
  <c r="F171" i="27"/>
  <c r="F6" i="29" s="1"/>
  <c r="G171" i="27"/>
  <c r="E171" i="27"/>
  <c r="E6" i="29" s="1"/>
  <c r="E165" i="27"/>
  <c r="E163" i="27"/>
  <c r="E162" i="27"/>
  <c r="H29" i="29"/>
  <c r="H30" i="29"/>
  <c r="H31" i="29"/>
  <c r="H32" i="29"/>
  <c r="H33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E39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E27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H28" i="29"/>
  <c r="D41" i="29"/>
  <c r="E79" i="29"/>
  <c r="T68" i="29"/>
  <c r="S68" i="29"/>
  <c r="R68" i="29"/>
  <c r="Q68" i="29"/>
  <c r="P68" i="29"/>
  <c r="O68" i="29"/>
  <c r="N68" i="29"/>
  <c r="M68" i="29"/>
  <c r="L68" i="29"/>
  <c r="F57" i="29"/>
  <c r="E57" i="29"/>
  <c r="F34" i="29"/>
  <c r="E34" i="29"/>
  <c r="D34" i="29"/>
  <c r="F23" i="29"/>
  <c r="E23" i="29"/>
  <c r="G71" i="23"/>
  <c r="F71" i="23"/>
  <c r="E71" i="23"/>
  <c r="G70" i="23"/>
  <c r="F70" i="23"/>
  <c r="E70" i="23"/>
  <c r="G69" i="23"/>
  <c r="F69" i="23"/>
  <c r="E69" i="23"/>
  <c r="E88" i="23" s="1"/>
  <c r="G68" i="23"/>
  <c r="F68" i="23"/>
  <c r="G67" i="23"/>
  <c r="F67" i="23"/>
  <c r="E67" i="23"/>
  <c r="G66" i="23"/>
  <c r="F66" i="23"/>
  <c r="E66" i="23"/>
  <c r="G65" i="23"/>
  <c r="F65" i="23"/>
  <c r="E65" i="23"/>
  <c r="G63" i="23"/>
  <c r="F63" i="23"/>
  <c r="E63" i="23"/>
  <c r="F62" i="23"/>
  <c r="E62" i="23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F40" i="23"/>
  <c r="G40" i="23"/>
  <c r="E40" i="23"/>
  <c r="G31" i="23"/>
  <c r="F31" i="23"/>
  <c r="E31" i="23"/>
  <c r="G30" i="23"/>
  <c r="F30" i="23"/>
  <c r="E30" i="23"/>
  <c r="G28" i="23"/>
  <c r="F28" i="23"/>
  <c r="E28" i="23"/>
  <c r="G26" i="23"/>
  <c r="F26" i="23"/>
  <c r="E26" i="23"/>
  <c r="G25" i="23"/>
  <c r="F25" i="23"/>
  <c r="E25" i="23"/>
  <c r="G24" i="23"/>
  <c r="I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T24" i="23" s="1"/>
  <c r="F24" i="23"/>
  <c r="E24" i="23"/>
  <c r="G22" i="23"/>
  <c r="F22" i="23"/>
  <c r="E22" i="23"/>
  <c r="G21" i="23"/>
  <c r="F21" i="23"/>
  <c r="E21" i="23"/>
  <c r="G20" i="23"/>
  <c r="F20" i="23"/>
  <c r="E20" i="23"/>
  <c r="G18" i="23"/>
  <c r="F18" i="23"/>
  <c r="E18" i="23"/>
  <c r="G17" i="23"/>
  <c r="F17" i="23"/>
  <c r="E17" i="23"/>
  <c r="G16" i="23"/>
  <c r="F16" i="23"/>
  <c r="E16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E81" i="23" s="1"/>
  <c r="S11" i="34" l="1"/>
  <c r="T11" i="34" s="1"/>
  <c r="S12" i="34"/>
  <c r="T12" i="34" s="1"/>
  <c r="S8" i="34"/>
  <c r="T8" i="34" s="1"/>
  <c r="S14" i="34"/>
  <c r="T14" i="34" s="1"/>
  <c r="S10" i="34"/>
  <c r="T10" i="34" s="1"/>
  <c r="S7" i="34"/>
  <c r="T7" i="34" s="1"/>
  <c r="S9" i="34"/>
  <c r="T9" i="34" s="1"/>
  <c r="H13" i="34"/>
  <c r="U44" i="29"/>
  <c r="U43" i="29"/>
  <c r="U40" i="29"/>
  <c r="U42" i="29"/>
  <c r="U45" i="29"/>
  <c r="U41" i="29"/>
  <c r="AC21" i="34"/>
  <c r="J21" i="34"/>
  <c r="P95" i="23"/>
  <c r="M95" i="23"/>
  <c r="Q95" i="23"/>
  <c r="T95" i="23"/>
  <c r="N95" i="23"/>
  <c r="R95" i="23"/>
  <c r="L95" i="23"/>
  <c r="O95" i="23"/>
  <c r="S95" i="23"/>
  <c r="AB10" i="34"/>
  <c r="AB8" i="34"/>
  <c r="AB20" i="34"/>
  <c r="T6" i="34"/>
  <c r="AB16" i="34"/>
  <c r="AB19" i="34"/>
  <c r="T13" i="34"/>
  <c r="AB6" i="34"/>
  <c r="AB18" i="34"/>
  <c r="AB13" i="34"/>
  <c r="AB15" i="34"/>
  <c r="AB7" i="34"/>
  <c r="AB11" i="34"/>
  <c r="AB9" i="34"/>
  <c r="AB12" i="34"/>
  <c r="AB14" i="34"/>
  <c r="AB17" i="34"/>
  <c r="AB21" i="34"/>
  <c r="H20" i="35"/>
  <c r="H45" i="35" s="1"/>
  <c r="H37" i="35"/>
  <c r="H69" i="27"/>
  <c r="H30" i="23"/>
  <c r="G106" i="23"/>
  <c r="F160" i="27"/>
  <c r="G6" i="29"/>
  <c r="G12" i="29" s="1"/>
  <c r="I87" i="23"/>
  <c r="F96" i="23"/>
  <c r="F85" i="23"/>
  <c r="F89" i="23"/>
  <c r="E89" i="23"/>
  <c r="F86" i="23"/>
  <c r="E86" i="23"/>
  <c r="F81" i="23"/>
  <c r="E87" i="23"/>
  <c r="F87" i="23"/>
  <c r="F88" i="23"/>
  <c r="E94" i="23"/>
  <c r="E96" i="23" s="1"/>
  <c r="G96" i="23"/>
  <c r="R39" i="27"/>
  <c r="H39" i="27"/>
  <c r="K39" i="27"/>
  <c r="N39" i="27"/>
  <c r="S39" i="27"/>
  <c r="L39" i="27"/>
  <c r="T39" i="27"/>
  <c r="O39" i="27"/>
  <c r="M39" i="27"/>
  <c r="U39" i="27"/>
  <c r="Q39" i="27"/>
  <c r="J39" i="27"/>
  <c r="P39" i="27"/>
  <c r="M7" i="27"/>
  <c r="E106" i="23"/>
  <c r="F106" i="23"/>
  <c r="J43" i="29"/>
  <c r="N43" i="29"/>
  <c r="R43" i="29"/>
  <c r="I43" i="29"/>
  <c r="Q43" i="29"/>
  <c r="H43" i="29"/>
  <c r="P43" i="29"/>
  <c r="O43" i="29"/>
  <c r="M43" i="29"/>
  <c r="L43" i="29"/>
  <c r="T43" i="29"/>
  <c r="K43" i="29"/>
  <c r="S43" i="29"/>
  <c r="L44" i="29"/>
  <c r="P44" i="29"/>
  <c r="T44" i="29"/>
  <c r="H44" i="29"/>
  <c r="K44" i="29"/>
  <c r="O44" i="29"/>
  <c r="S44" i="29"/>
  <c r="J44" i="29"/>
  <c r="R44" i="29"/>
  <c r="I44" i="29"/>
  <c r="M44" i="29"/>
  <c r="N44" i="29"/>
  <c r="Q44" i="29"/>
  <c r="J45" i="29"/>
  <c r="N45" i="29"/>
  <c r="R45" i="29"/>
  <c r="M45" i="29"/>
  <c r="Q45" i="29"/>
  <c r="P45" i="29"/>
  <c r="O45" i="29"/>
  <c r="I45" i="29"/>
  <c r="L45" i="29"/>
  <c r="T45" i="29"/>
  <c r="K45" i="29"/>
  <c r="S45" i="29"/>
  <c r="H45" i="29"/>
  <c r="J41" i="29"/>
  <c r="N41" i="29"/>
  <c r="R41" i="29"/>
  <c r="I41" i="29"/>
  <c r="Q41" i="29"/>
  <c r="L41" i="29"/>
  <c r="P41" i="29"/>
  <c r="T41" i="29"/>
  <c r="K41" i="29"/>
  <c r="S41" i="29"/>
  <c r="H41" i="29"/>
  <c r="M41" i="29"/>
  <c r="O41" i="29"/>
  <c r="L40" i="29"/>
  <c r="P40" i="29"/>
  <c r="T40" i="29"/>
  <c r="O40" i="29"/>
  <c r="S40" i="29"/>
  <c r="J40" i="29"/>
  <c r="N40" i="29"/>
  <c r="R40" i="29"/>
  <c r="I40" i="29"/>
  <c r="Q40" i="29"/>
  <c r="K40" i="29"/>
  <c r="H40" i="29"/>
  <c r="M40" i="29"/>
  <c r="L42" i="29"/>
  <c r="P42" i="29"/>
  <c r="T42" i="29"/>
  <c r="K42" i="29"/>
  <c r="O42" i="29"/>
  <c r="S42" i="29"/>
  <c r="N42" i="29"/>
  <c r="R42" i="29"/>
  <c r="H42" i="29"/>
  <c r="M42" i="29"/>
  <c r="J42" i="29"/>
  <c r="I42" i="29"/>
  <c r="Q42" i="29"/>
  <c r="F12" i="29"/>
  <c r="E12" i="29"/>
  <c r="F165" i="27"/>
  <c r="G165" i="27" s="1"/>
  <c r="K68" i="29"/>
  <c r="J68" i="29"/>
  <c r="I68" i="29"/>
  <c r="H68" i="29"/>
  <c r="G140" i="27"/>
  <c r="F140" i="27"/>
  <c r="E140" i="27"/>
  <c r="G124" i="27"/>
  <c r="F124" i="27"/>
  <c r="E124" i="27"/>
  <c r="G108" i="27"/>
  <c r="F108" i="27"/>
  <c r="E108" i="27"/>
  <c r="F98" i="27"/>
  <c r="E98" i="27"/>
  <c r="G90" i="27"/>
  <c r="F90" i="27"/>
  <c r="E90" i="27"/>
  <c r="G76" i="27"/>
  <c r="F76" i="27"/>
  <c r="E76" i="27"/>
  <c r="G47" i="27"/>
  <c r="G56" i="27" s="1"/>
  <c r="G60" i="27" s="1"/>
  <c r="G64" i="27" s="1"/>
  <c r="G66" i="27" s="1"/>
  <c r="G69" i="27" s="1"/>
  <c r="F47" i="27"/>
  <c r="F56" i="27" s="1"/>
  <c r="F60" i="27" s="1"/>
  <c r="F64" i="27" s="1"/>
  <c r="F66" i="27" s="1"/>
  <c r="F69" i="27" s="1"/>
  <c r="F123" i="27" s="1"/>
  <c r="E47" i="27"/>
  <c r="E56" i="27" s="1"/>
  <c r="E60" i="27" s="1"/>
  <c r="F10" i="23"/>
  <c r="F19" i="23" s="1"/>
  <c r="F23" i="23" s="1"/>
  <c r="F27" i="23" s="1"/>
  <c r="F29" i="23" s="1"/>
  <c r="F32" i="23" s="1"/>
  <c r="F79" i="23" s="1"/>
  <c r="G10" i="23"/>
  <c r="G19" i="23" s="1"/>
  <c r="G23" i="23" s="1"/>
  <c r="G27" i="23" s="1"/>
  <c r="G29" i="23" s="1"/>
  <c r="G32" i="23" s="1"/>
  <c r="G79" i="23" s="1"/>
  <c r="E10" i="23"/>
  <c r="E19" i="23" s="1"/>
  <c r="E23" i="23" s="1"/>
  <c r="E27" i="23" s="1"/>
  <c r="E29" i="23" s="1"/>
  <c r="E32" i="23" s="1"/>
  <c r="E79" i="23" s="1"/>
  <c r="F64" i="23"/>
  <c r="G64" i="23"/>
  <c r="H64" i="23"/>
  <c r="E64" i="23"/>
  <c r="F54" i="23"/>
  <c r="E54" i="23"/>
  <c r="F46" i="23"/>
  <c r="G46" i="23"/>
  <c r="E46" i="23"/>
  <c r="F39" i="23"/>
  <c r="G39" i="23"/>
  <c r="E39" i="23"/>
  <c r="E18" i="27"/>
  <c r="F18" i="27"/>
  <c r="G18" i="27"/>
  <c r="D19" i="27"/>
  <c r="D20" i="27"/>
  <c r="E21" i="27"/>
  <c r="F21" i="27"/>
  <c r="G21" i="27"/>
  <c r="D22" i="27"/>
  <c r="D23" i="27"/>
  <c r="E24" i="27"/>
  <c r="E64" i="29" s="1"/>
  <c r="F24" i="27"/>
  <c r="F64" i="29" s="1"/>
  <c r="G24" i="27"/>
  <c r="G64" i="29" s="1"/>
  <c r="D25" i="27"/>
  <c r="D26" i="27"/>
  <c r="E27" i="27"/>
  <c r="E65" i="29" s="1"/>
  <c r="F27" i="27"/>
  <c r="F65" i="29" s="1"/>
  <c r="G27" i="27"/>
  <c r="G65" i="29" s="1"/>
  <c r="D28" i="27"/>
  <c r="D29" i="27"/>
  <c r="D30" i="27"/>
  <c r="D31" i="27"/>
  <c r="D32" i="27"/>
  <c r="D33" i="27"/>
  <c r="D34" i="27"/>
  <c r="D35" i="27"/>
  <c r="E36" i="27"/>
  <c r="F36" i="27"/>
  <c r="G36" i="27"/>
  <c r="D37" i="27"/>
  <c r="D38" i="27"/>
  <c r="D69" i="29" l="1"/>
  <c r="D80" i="29" s="1"/>
  <c r="J108" i="29"/>
  <c r="J110" i="29" s="1"/>
  <c r="K108" i="29"/>
  <c r="K31" i="35" s="1"/>
  <c r="S69" i="29"/>
  <c r="S99" i="23" s="1"/>
  <c r="L69" i="29"/>
  <c r="L99" i="23" s="1"/>
  <c r="N69" i="29"/>
  <c r="N99" i="23" s="1"/>
  <c r="Q69" i="29"/>
  <c r="Q99" i="23" s="1"/>
  <c r="P69" i="29"/>
  <c r="P99" i="23" s="1"/>
  <c r="O69" i="29"/>
  <c r="O99" i="23" s="1"/>
  <c r="R69" i="29"/>
  <c r="R99" i="23" s="1"/>
  <c r="T69" i="29"/>
  <c r="T99" i="23" s="1"/>
  <c r="M69" i="29"/>
  <c r="M99" i="23" s="1"/>
  <c r="U69" i="29"/>
  <c r="U46" i="29"/>
  <c r="AF21" i="34"/>
  <c r="F22" i="34"/>
  <c r="H22" i="34" s="1"/>
  <c r="B22" i="34"/>
  <c r="J95" i="23"/>
  <c r="J115" i="29"/>
  <c r="I95" i="23"/>
  <c r="K95" i="23"/>
  <c r="K69" i="29"/>
  <c r="I17" i="34"/>
  <c r="AE17" i="34" s="1"/>
  <c r="AD17" i="34"/>
  <c r="I12" i="34"/>
  <c r="AE12" i="34" s="1"/>
  <c r="AD12" i="34"/>
  <c r="I11" i="34"/>
  <c r="AE11" i="34" s="1"/>
  <c r="AD11" i="34"/>
  <c r="I15" i="34"/>
  <c r="AE15" i="34" s="1"/>
  <c r="AD15" i="34"/>
  <c r="I18" i="34"/>
  <c r="AE18" i="34" s="1"/>
  <c r="AD18" i="34"/>
  <c r="I16" i="34"/>
  <c r="AE16" i="34" s="1"/>
  <c r="AD16" i="34"/>
  <c r="I20" i="34"/>
  <c r="AE20" i="34" s="1"/>
  <c r="AD20" i="34"/>
  <c r="I10" i="34"/>
  <c r="AE10" i="34" s="1"/>
  <c r="AD10" i="34"/>
  <c r="I21" i="34"/>
  <c r="AE21" i="34" s="1"/>
  <c r="AD21" i="34"/>
  <c r="I14" i="34"/>
  <c r="AE14" i="34" s="1"/>
  <c r="AD14" i="34"/>
  <c r="I9" i="34"/>
  <c r="AE9" i="34" s="1"/>
  <c r="AD9" i="34"/>
  <c r="I7" i="34"/>
  <c r="AE7" i="34" s="1"/>
  <c r="AD7" i="34"/>
  <c r="I13" i="34"/>
  <c r="AE13" i="34" s="1"/>
  <c r="AD13" i="34"/>
  <c r="I6" i="34"/>
  <c r="AE6" i="34" s="1"/>
  <c r="J101" i="29"/>
  <c r="J21" i="35" s="1"/>
  <c r="AD6" i="34"/>
  <c r="I19" i="34"/>
  <c r="AE19" i="34" s="1"/>
  <c r="AD19" i="34"/>
  <c r="I8" i="34"/>
  <c r="AE8" i="34" s="1"/>
  <c r="AD8" i="34"/>
  <c r="G123" i="27"/>
  <c r="G135" i="27" s="1"/>
  <c r="G151" i="27" s="1"/>
  <c r="G106" i="27"/>
  <c r="I17" i="35"/>
  <c r="H43" i="35"/>
  <c r="H123" i="27"/>
  <c r="H135" i="27" s="1"/>
  <c r="H151" i="27" s="1"/>
  <c r="H154" i="27" s="1"/>
  <c r="H156" i="27" s="1"/>
  <c r="H106" i="27"/>
  <c r="H50" i="23"/>
  <c r="I86" i="23"/>
  <c r="H95" i="29"/>
  <c r="I55" i="23" s="1"/>
  <c r="J55" i="23" s="1"/>
  <c r="K55" i="23" s="1"/>
  <c r="L55" i="23" s="1"/>
  <c r="M55" i="23" s="1"/>
  <c r="N55" i="23" s="1"/>
  <c r="O55" i="23" s="1"/>
  <c r="P55" i="23" s="1"/>
  <c r="Q55" i="23" s="1"/>
  <c r="R55" i="23" s="1"/>
  <c r="S55" i="23" s="1"/>
  <c r="T55" i="23" s="1"/>
  <c r="G96" i="29"/>
  <c r="G95" i="29"/>
  <c r="E96" i="29"/>
  <c r="H96" i="29"/>
  <c r="F96" i="29"/>
  <c r="E95" i="29"/>
  <c r="F95" i="29"/>
  <c r="F135" i="27"/>
  <c r="F151" i="27" s="1"/>
  <c r="E64" i="27"/>
  <c r="E66" i="27" s="1"/>
  <c r="E69" i="27" s="1"/>
  <c r="E123" i="27" s="1"/>
  <c r="E135" i="27" s="1"/>
  <c r="E151" i="27" s="1"/>
  <c r="E154" i="27" s="1"/>
  <c r="F153" i="27" s="1"/>
  <c r="F80" i="23"/>
  <c r="F91" i="23" s="1"/>
  <c r="F107" i="23" s="1"/>
  <c r="E80" i="23"/>
  <c r="E91" i="23" s="1"/>
  <c r="E107" i="23" s="1"/>
  <c r="E110" i="23" s="1"/>
  <c r="G80" i="23"/>
  <c r="G91" i="23" s="1"/>
  <c r="G107" i="23" s="1"/>
  <c r="P98" i="23"/>
  <c r="N7" i="27"/>
  <c r="F103" i="23"/>
  <c r="H21" i="35"/>
  <c r="F105" i="23"/>
  <c r="E87" i="29"/>
  <c r="F76" i="29" s="1"/>
  <c r="F68" i="29"/>
  <c r="F95" i="23" s="1"/>
  <c r="E86" i="29"/>
  <c r="E68" i="29"/>
  <c r="G68" i="29"/>
  <c r="I9" i="29"/>
  <c r="I7" i="29"/>
  <c r="J18" i="29" s="1"/>
  <c r="F116" i="27"/>
  <c r="D21" i="27"/>
  <c r="D36" i="27"/>
  <c r="G96" i="27"/>
  <c r="G17" i="27"/>
  <c r="G39" i="27" s="1"/>
  <c r="D18" i="27"/>
  <c r="E96" i="27"/>
  <c r="D27" i="27"/>
  <c r="D24" i="27"/>
  <c r="E17" i="27"/>
  <c r="E39" i="27" s="1"/>
  <c r="E52" i="23"/>
  <c r="F52" i="23"/>
  <c r="G52" i="23"/>
  <c r="F72" i="23"/>
  <c r="E116" i="27"/>
  <c r="F96" i="27"/>
  <c r="E72" i="23"/>
  <c r="F17" i="27"/>
  <c r="F39" i="27" s="1"/>
  <c r="J31" i="35" l="1"/>
  <c r="J26" i="23" s="1"/>
  <c r="K110" i="29"/>
  <c r="G22" i="34"/>
  <c r="X22" i="34"/>
  <c r="AD22" i="34"/>
  <c r="AB22" i="34"/>
  <c r="K99" i="23"/>
  <c r="J71" i="23"/>
  <c r="J114" i="29"/>
  <c r="J70" i="23" s="1"/>
  <c r="J89" i="23" s="1"/>
  <c r="J98" i="23"/>
  <c r="J99" i="23"/>
  <c r="I98" i="23"/>
  <c r="I99" i="23"/>
  <c r="G62" i="23"/>
  <c r="G54" i="23" s="1"/>
  <c r="G72" i="23" s="1"/>
  <c r="G73" i="23" s="1"/>
  <c r="G98" i="27"/>
  <c r="G116" i="27" s="1"/>
  <c r="G97" i="27" s="1"/>
  <c r="H41" i="35"/>
  <c r="H98" i="27"/>
  <c r="H116" i="27" s="1"/>
  <c r="H62" i="23"/>
  <c r="H90" i="27"/>
  <c r="H96" i="27" s="1"/>
  <c r="H49" i="23"/>
  <c r="H157" i="27"/>
  <c r="I10" i="29"/>
  <c r="E95" i="23"/>
  <c r="F154" i="27"/>
  <c r="G154" i="27" s="1"/>
  <c r="G156" i="27" s="1"/>
  <c r="E156" i="27"/>
  <c r="E157" i="27"/>
  <c r="F166" i="27"/>
  <c r="D166" i="27"/>
  <c r="F109" i="23"/>
  <c r="F110" i="23" s="1"/>
  <c r="S98" i="23"/>
  <c r="R98" i="23"/>
  <c r="Q98" i="23"/>
  <c r="N98" i="23"/>
  <c r="T98" i="23"/>
  <c r="M98" i="23"/>
  <c r="K98" i="23"/>
  <c r="L98" i="23"/>
  <c r="O98" i="23"/>
  <c r="F97" i="27"/>
  <c r="I8" i="29"/>
  <c r="E103" i="29"/>
  <c r="G103" i="29"/>
  <c r="H103" i="29"/>
  <c r="F103" i="29"/>
  <c r="O7" i="27"/>
  <c r="E97" i="27"/>
  <c r="I11" i="29"/>
  <c r="F75" i="29"/>
  <c r="E90" i="29"/>
  <c r="J7" i="29"/>
  <c r="F73" i="23"/>
  <c r="E73" i="23"/>
  <c r="E74" i="23" s="1"/>
  <c r="J9" i="29"/>
  <c r="D17" i="27"/>
  <c r="D39" i="27"/>
  <c r="F74" i="23" l="1"/>
  <c r="G74" i="23"/>
  <c r="AC22" i="34"/>
  <c r="I22" i="34"/>
  <c r="AE22" i="34" s="1"/>
  <c r="J22" i="34"/>
  <c r="K18" i="29"/>
  <c r="H97" i="27"/>
  <c r="J10" i="29"/>
  <c r="F156" i="27"/>
  <c r="F157" i="27"/>
  <c r="G157" i="27"/>
  <c r="G110" i="23"/>
  <c r="J8" i="29"/>
  <c r="P7" i="27"/>
  <c r="J11" i="29"/>
  <c r="AF22" i="34" l="1"/>
  <c r="F23" i="34"/>
  <c r="H23" i="34" s="1"/>
  <c r="B23" i="34"/>
  <c r="K10" i="29"/>
  <c r="J87" i="23"/>
  <c r="J86" i="23"/>
  <c r="Q7" i="27"/>
  <c r="K11" i="29"/>
  <c r="L22" i="29" s="1"/>
  <c r="K87" i="23"/>
  <c r="X23" i="34" l="1"/>
  <c r="G23" i="34"/>
  <c r="AB23" i="34"/>
  <c r="AD23" i="34"/>
  <c r="L10" i="29"/>
  <c r="R7" i="27"/>
  <c r="L11" i="29"/>
  <c r="M22" i="29" s="1"/>
  <c r="L87" i="23"/>
  <c r="AC23" i="34" l="1"/>
  <c r="I23" i="34"/>
  <c r="AE23" i="34" s="1"/>
  <c r="J23" i="34"/>
  <c r="M21" i="29"/>
  <c r="M10" i="29" s="1"/>
  <c r="K86" i="23"/>
  <c r="L86" i="23"/>
  <c r="S7" i="27"/>
  <c r="M11" i="29"/>
  <c r="N22" i="29" s="1"/>
  <c r="AF23" i="34" l="1"/>
  <c r="F24" i="34"/>
  <c r="H24" i="34" s="1"/>
  <c r="B24" i="34"/>
  <c r="N10" i="29"/>
  <c r="M87" i="23"/>
  <c r="T7" i="27"/>
  <c r="N11" i="29"/>
  <c r="O22" i="29" s="1"/>
  <c r="N87" i="23"/>
  <c r="X24" i="34" l="1"/>
  <c r="G24" i="34"/>
  <c r="AB24" i="34"/>
  <c r="O10" i="29"/>
  <c r="N86" i="23"/>
  <c r="M86" i="23"/>
  <c r="U7" i="27"/>
  <c r="O11" i="29"/>
  <c r="P22" i="29" s="1"/>
  <c r="O87" i="23"/>
  <c r="AD24" i="34" l="1"/>
  <c r="K101" i="29"/>
  <c r="AC24" i="34"/>
  <c r="J24" i="34"/>
  <c r="I24" i="34"/>
  <c r="AE24" i="34" s="1"/>
  <c r="P10" i="29"/>
  <c r="O86" i="23"/>
  <c r="P11" i="29"/>
  <c r="Q22" i="29" s="1"/>
  <c r="AF24" i="34" l="1"/>
  <c r="F25" i="34"/>
  <c r="H25" i="34" s="1"/>
  <c r="B25" i="34"/>
  <c r="K21" i="35"/>
  <c r="K26" i="23" s="1"/>
  <c r="K105" i="23"/>
  <c r="Q10" i="29"/>
  <c r="P87" i="23"/>
  <c r="Q11" i="29"/>
  <c r="R22" i="29" s="1"/>
  <c r="X25" i="34" l="1"/>
  <c r="G25" i="34"/>
  <c r="AD25" i="34"/>
  <c r="AB25" i="34"/>
  <c r="R10" i="29"/>
  <c r="Q87" i="23"/>
  <c r="Q86" i="23"/>
  <c r="P86" i="23"/>
  <c r="R11" i="29"/>
  <c r="S22" i="29" s="1"/>
  <c r="R87" i="23"/>
  <c r="J25" i="34" l="1"/>
  <c r="I25" i="34"/>
  <c r="AE25" i="34" s="1"/>
  <c r="AC25" i="34"/>
  <c r="S10" i="29"/>
  <c r="S11" i="29"/>
  <c r="T22" i="29" s="1"/>
  <c r="S87" i="23"/>
  <c r="AF25" i="34" l="1"/>
  <c r="B26" i="34"/>
  <c r="F26" i="34"/>
  <c r="H26" i="34" s="1"/>
  <c r="T10" i="29"/>
  <c r="U10" i="29" s="1"/>
  <c r="R86" i="23"/>
  <c r="T11" i="29"/>
  <c r="T87" i="23"/>
  <c r="U22" i="29" l="1"/>
  <c r="U11" i="29" s="1"/>
  <c r="AD26" i="34"/>
  <c r="AB26" i="34"/>
  <c r="G26" i="34"/>
  <c r="X26" i="34"/>
  <c r="S86" i="23"/>
  <c r="AC26" i="34" l="1"/>
  <c r="J26" i="34"/>
  <c r="I26" i="34"/>
  <c r="AE26" i="34" s="1"/>
  <c r="T86" i="23"/>
  <c r="AF26" i="34" l="1"/>
  <c r="B27" i="34"/>
  <c r="F27" i="34"/>
  <c r="H27" i="34" s="1"/>
  <c r="AB27" i="34" l="1"/>
  <c r="AD27" i="34"/>
  <c r="G27" i="34"/>
  <c r="X27" i="34"/>
  <c r="I27" i="34" l="1"/>
  <c r="AE27" i="34" s="1"/>
  <c r="J27" i="34"/>
  <c r="AC27" i="34"/>
  <c r="G34" i="29"/>
  <c r="H34" i="29"/>
  <c r="S34" i="29"/>
  <c r="S96" i="23" s="1"/>
  <c r="O34" i="29"/>
  <c r="O96" i="23" s="1"/>
  <c r="J34" i="29"/>
  <c r="J94" i="23" s="1"/>
  <c r="J96" i="23" s="1"/>
  <c r="I34" i="29"/>
  <c r="K34" i="29"/>
  <c r="K96" i="23" s="1"/>
  <c r="L34" i="29"/>
  <c r="L96" i="23" s="1"/>
  <c r="N34" i="29"/>
  <c r="N96" i="23" s="1"/>
  <c r="M34" i="29"/>
  <c r="M96" i="23" s="1"/>
  <c r="Q34" i="29"/>
  <c r="Q96" i="23" s="1"/>
  <c r="P34" i="29"/>
  <c r="P96" i="23" s="1"/>
  <c r="R34" i="29"/>
  <c r="R96" i="23" s="1"/>
  <c r="T34" i="29"/>
  <c r="T96" i="23" s="1"/>
  <c r="AF27" i="34" l="1"/>
  <c r="B28" i="34"/>
  <c r="F28" i="34"/>
  <c r="H28" i="34" s="1"/>
  <c r="I94" i="23"/>
  <c r="I96" i="23" s="1"/>
  <c r="H96" i="23"/>
  <c r="G23" i="29"/>
  <c r="H23" i="29"/>
  <c r="K9" i="29"/>
  <c r="L20" i="29" s="1"/>
  <c r="K7" i="29"/>
  <c r="AB28" i="34" l="1"/>
  <c r="AD28" i="34"/>
  <c r="G28" i="34"/>
  <c r="X28" i="34"/>
  <c r="L18" i="29"/>
  <c r="L7" i="29" s="1"/>
  <c r="K8" i="29"/>
  <c r="H12" i="29"/>
  <c r="I17" i="29"/>
  <c r="I6" i="29" s="1"/>
  <c r="I28" i="34" l="1"/>
  <c r="AE28" i="34" s="1"/>
  <c r="J28" i="34"/>
  <c r="AC28" i="34"/>
  <c r="M18" i="29"/>
  <c r="M7" i="29" s="1"/>
  <c r="I23" i="29"/>
  <c r="L9" i="29"/>
  <c r="AF28" i="34" l="1"/>
  <c r="F29" i="34"/>
  <c r="H29" i="34" s="1"/>
  <c r="B29" i="34"/>
  <c r="N18" i="29"/>
  <c r="L8" i="29"/>
  <c r="J17" i="29"/>
  <c r="I12" i="29"/>
  <c r="M9" i="29"/>
  <c r="G29" i="34" l="1"/>
  <c r="X29" i="34"/>
  <c r="AB29" i="34"/>
  <c r="AD29" i="34"/>
  <c r="M8" i="29"/>
  <c r="J23" i="29"/>
  <c r="J6" i="29"/>
  <c r="N7" i="29"/>
  <c r="N9" i="29"/>
  <c r="AC29" i="34" l="1"/>
  <c r="J29" i="34"/>
  <c r="I29" i="34"/>
  <c r="AE29" i="34" s="1"/>
  <c r="O18" i="29"/>
  <c r="O7" i="29" s="1"/>
  <c r="N8" i="29"/>
  <c r="J12" i="29"/>
  <c r="K17" i="29"/>
  <c r="K23" i="29" s="1"/>
  <c r="O9" i="29"/>
  <c r="AF29" i="34" l="1"/>
  <c r="B30" i="34"/>
  <c r="F30" i="34"/>
  <c r="H30" i="34" s="1"/>
  <c r="P18" i="29"/>
  <c r="P7" i="29" s="1"/>
  <c r="O8" i="29"/>
  <c r="K6" i="29"/>
  <c r="P9" i="29"/>
  <c r="AB30" i="34" l="1"/>
  <c r="AD30" i="34"/>
  <c r="G30" i="34"/>
  <c r="X30" i="34"/>
  <c r="Q18" i="29"/>
  <c r="Q7" i="29" s="1"/>
  <c r="P8" i="29"/>
  <c r="L17" i="29"/>
  <c r="L23" i="29" s="1"/>
  <c r="K12" i="29"/>
  <c r="Q9" i="29"/>
  <c r="AC30" i="34" l="1"/>
  <c r="I30" i="34"/>
  <c r="AE30" i="34" s="1"/>
  <c r="J30" i="34"/>
  <c r="R18" i="29"/>
  <c r="R7" i="29" s="1"/>
  <c r="Q8" i="29"/>
  <c r="L6" i="29"/>
  <c r="R9" i="29"/>
  <c r="AF30" i="34" l="1"/>
  <c r="B31" i="34"/>
  <c r="F31" i="34"/>
  <c r="H31" i="34" s="1"/>
  <c r="L12" i="29"/>
  <c r="S18" i="29"/>
  <c r="S7" i="29" s="1"/>
  <c r="R8" i="29"/>
  <c r="M17" i="29"/>
  <c r="S9" i="29"/>
  <c r="G31" i="34" l="1"/>
  <c r="X31" i="34"/>
  <c r="AB31" i="34"/>
  <c r="AD31" i="34"/>
  <c r="T18" i="29"/>
  <c r="T7" i="29" s="1"/>
  <c r="S8" i="29"/>
  <c r="M23" i="29"/>
  <c r="M6" i="29"/>
  <c r="T9" i="29"/>
  <c r="U9" i="29" s="1"/>
  <c r="U18" i="29" l="1"/>
  <c r="U7" i="29" s="1"/>
  <c r="AC31" i="34"/>
  <c r="I31" i="34"/>
  <c r="AE31" i="34" s="1"/>
  <c r="J31" i="34"/>
  <c r="T8" i="29"/>
  <c r="U8" i="29" s="1"/>
  <c r="N17" i="29"/>
  <c r="N23" i="29" s="1"/>
  <c r="M12" i="29"/>
  <c r="AF31" i="34" l="1"/>
  <c r="F32" i="34"/>
  <c r="H32" i="34" s="1"/>
  <c r="B32" i="34"/>
  <c r="N6" i="29"/>
  <c r="G32" i="34" l="1"/>
  <c r="X32" i="34"/>
  <c r="AB32" i="34"/>
  <c r="AD32" i="34"/>
  <c r="N12" i="29"/>
  <c r="O17" i="29"/>
  <c r="O6" i="29" s="1"/>
  <c r="AC32" i="34" l="1"/>
  <c r="J32" i="34"/>
  <c r="I32" i="34"/>
  <c r="AE32" i="34" s="1"/>
  <c r="O23" i="29"/>
  <c r="P17" i="29"/>
  <c r="P23" i="29" s="1"/>
  <c r="O12" i="29"/>
  <c r="AF32" i="34" l="1"/>
  <c r="B33" i="34"/>
  <c r="F33" i="34"/>
  <c r="H33" i="34" s="1"/>
  <c r="P6" i="29"/>
  <c r="AB33" i="34" l="1"/>
  <c r="AD33" i="34"/>
  <c r="X33" i="34"/>
  <c r="G33" i="34"/>
  <c r="P12" i="29"/>
  <c r="Q17" i="29"/>
  <c r="Q23" i="29" s="1"/>
  <c r="AC33" i="34" l="1"/>
  <c r="I33" i="34"/>
  <c r="AE33" i="34" s="1"/>
  <c r="J33" i="34"/>
  <c r="Q6" i="29"/>
  <c r="AF33" i="34" l="1"/>
  <c r="F34" i="34"/>
  <c r="H34" i="34" s="1"/>
  <c r="B34" i="34"/>
  <c r="R17" i="29"/>
  <c r="R23" i="29" s="1"/>
  <c r="Q12" i="29"/>
  <c r="AB34" i="34" l="1"/>
  <c r="AD34" i="34"/>
  <c r="X34" i="34"/>
  <c r="G34" i="34"/>
  <c r="R6" i="29"/>
  <c r="R12" i="29" s="1"/>
  <c r="AC34" i="34" l="1"/>
  <c r="I34" i="34"/>
  <c r="AE34" i="34" s="1"/>
  <c r="J34" i="34"/>
  <c r="S17" i="29"/>
  <c r="AF34" i="34" l="1"/>
  <c r="B35" i="34"/>
  <c r="F35" i="34"/>
  <c r="H35" i="34" s="1"/>
  <c r="S23" i="29"/>
  <c r="S6" i="29"/>
  <c r="AD35" i="34" l="1"/>
  <c r="AB35" i="34"/>
  <c r="G35" i="34"/>
  <c r="X35" i="34"/>
  <c r="S12" i="29"/>
  <c r="T17" i="29"/>
  <c r="T23" i="29" s="1"/>
  <c r="AC35" i="34" l="1"/>
  <c r="I35" i="34"/>
  <c r="AE35" i="34" s="1"/>
  <c r="J35" i="34"/>
  <c r="T6" i="29"/>
  <c r="U17" i="29" l="1"/>
  <c r="U23" i="29" s="1"/>
  <c r="AF35" i="34"/>
  <c r="F36" i="34"/>
  <c r="H36" i="34" s="1"/>
  <c r="B36" i="34"/>
  <c r="T12" i="29"/>
  <c r="U6" i="29" l="1"/>
  <c r="U12" i="29" s="1"/>
  <c r="AD36" i="34"/>
  <c r="AB36" i="34"/>
  <c r="G36" i="34"/>
  <c r="X36" i="34"/>
  <c r="G57" i="29"/>
  <c r="H51" i="29"/>
  <c r="H46" i="29"/>
  <c r="H53" i="29"/>
  <c r="H55" i="29"/>
  <c r="H52" i="29"/>
  <c r="H56" i="29"/>
  <c r="H54" i="29"/>
  <c r="AC36" i="34" l="1"/>
  <c r="I36" i="34"/>
  <c r="AE36" i="34" s="1"/>
  <c r="J36" i="34"/>
  <c r="H57" i="29"/>
  <c r="I46" i="29"/>
  <c r="J46" i="29"/>
  <c r="R46" i="29"/>
  <c r="N46" i="29"/>
  <c r="T46" i="29"/>
  <c r="P46" i="29"/>
  <c r="M46" i="29"/>
  <c r="S46" i="29"/>
  <c r="K46" i="29"/>
  <c r="L46" i="29"/>
  <c r="Q46" i="29"/>
  <c r="I51" i="29"/>
  <c r="O46" i="29"/>
  <c r="I52" i="29"/>
  <c r="I55" i="29"/>
  <c r="J55" i="29" s="1"/>
  <c r="K55" i="29" s="1"/>
  <c r="L55" i="29" s="1"/>
  <c r="M55" i="29" s="1"/>
  <c r="N55" i="29" s="1"/>
  <c r="O55" i="29" s="1"/>
  <c r="P55" i="29" s="1"/>
  <c r="Q55" i="29" s="1"/>
  <c r="R55" i="29" s="1"/>
  <c r="S55" i="29" s="1"/>
  <c r="T55" i="29" s="1"/>
  <c r="U55" i="29" s="1"/>
  <c r="I56" i="29"/>
  <c r="J56" i="29" s="1"/>
  <c r="K56" i="29" s="1"/>
  <c r="L56" i="29" s="1"/>
  <c r="M56" i="29" s="1"/>
  <c r="N56" i="29" s="1"/>
  <c r="O56" i="29" s="1"/>
  <c r="P56" i="29" s="1"/>
  <c r="Q56" i="29" s="1"/>
  <c r="R56" i="29" s="1"/>
  <c r="S56" i="29" s="1"/>
  <c r="T56" i="29" s="1"/>
  <c r="U56" i="29" s="1"/>
  <c r="I54" i="29"/>
  <c r="J54" i="29" s="1"/>
  <c r="K54" i="29" s="1"/>
  <c r="L54" i="29" s="1"/>
  <c r="M54" i="29" s="1"/>
  <c r="N54" i="29" s="1"/>
  <c r="O54" i="29" s="1"/>
  <c r="P54" i="29" s="1"/>
  <c r="Q54" i="29" s="1"/>
  <c r="R54" i="29" s="1"/>
  <c r="S54" i="29" s="1"/>
  <c r="T54" i="29" s="1"/>
  <c r="U54" i="29" s="1"/>
  <c r="I53" i="29"/>
  <c r="J53" i="29" s="1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U53" i="29" s="1"/>
  <c r="AF36" i="34" l="1"/>
  <c r="F37" i="34"/>
  <c r="H37" i="34" s="1"/>
  <c r="B37" i="34"/>
  <c r="J52" i="29"/>
  <c r="J51" i="29"/>
  <c r="I57" i="29"/>
  <c r="G37" i="34" l="1"/>
  <c r="X37" i="34"/>
  <c r="AB37" i="34"/>
  <c r="AD37" i="34"/>
  <c r="K51" i="29"/>
  <c r="L51" i="29" s="1"/>
  <c r="K52" i="29"/>
  <c r="J57" i="29"/>
  <c r="I37" i="34" l="1"/>
  <c r="AE37" i="34" s="1"/>
  <c r="J37" i="34"/>
  <c r="AC37" i="34"/>
  <c r="K57" i="29"/>
  <c r="L52" i="29"/>
  <c r="L57" i="29" s="1"/>
  <c r="M51" i="29"/>
  <c r="AF37" i="34" l="1"/>
  <c r="F38" i="34"/>
  <c r="H38" i="34" s="1"/>
  <c r="B38" i="34"/>
  <c r="M52" i="29"/>
  <c r="N51" i="29"/>
  <c r="G38" i="34" l="1"/>
  <c r="X38" i="34"/>
  <c r="AD38" i="34"/>
  <c r="AB38" i="34"/>
  <c r="N52" i="29"/>
  <c r="N57" i="29" s="1"/>
  <c r="M57" i="29"/>
  <c r="O51" i="29"/>
  <c r="I38" i="34" l="1"/>
  <c r="AE38" i="34" s="1"/>
  <c r="J38" i="34"/>
  <c r="AC38" i="34"/>
  <c r="O52" i="29"/>
  <c r="O57" i="29" s="1"/>
  <c r="P51" i="29"/>
  <c r="AF38" i="34" l="1"/>
  <c r="B39" i="34"/>
  <c r="F39" i="34"/>
  <c r="H39" i="34" s="1"/>
  <c r="P52" i="29"/>
  <c r="P57" i="29" s="1"/>
  <c r="Q51" i="29"/>
  <c r="AB39" i="34" l="1"/>
  <c r="AD39" i="34"/>
  <c r="G39" i="34"/>
  <c r="X39" i="34"/>
  <c r="Q52" i="29"/>
  <c r="Q57" i="29" s="1"/>
  <c r="R51" i="29"/>
  <c r="J39" i="34" l="1"/>
  <c r="I39" i="34"/>
  <c r="AE39" i="34" s="1"/>
  <c r="AC39" i="34"/>
  <c r="R52" i="29"/>
  <c r="R57" i="29" s="1"/>
  <c r="S51" i="29"/>
  <c r="AF39" i="34" l="1"/>
  <c r="F40" i="34"/>
  <c r="H40" i="34" s="1"/>
  <c r="B40" i="34"/>
  <c r="S52" i="29"/>
  <c r="S57" i="29" s="1"/>
  <c r="T51" i="29"/>
  <c r="U51" i="29" s="1"/>
  <c r="AB40" i="34" l="1"/>
  <c r="AD40" i="34"/>
  <c r="X40" i="34"/>
  <c r="G40" i="34"/>
  <c r="T52" i="29"/>
  <c r="U52" i="29" s="1"/>
  <c r="U57" i="29" l="1"/>
  <c r="T57" i="29"/>
  <c r="I40" i="34"/>
  <c r="AE40" i="34" s="1"/>
  <c r="J40" i="34"/>
  <c r="AC40" i="34"/>
  <c r="AF40" i="34" l="1"/>
  <c r="F41" i="34"/>
  <c r="H41" i="34" s="1"/>
  <c r="B41" i="34"/>
  <c r="F84" i="29"/>
  <c r="F79" i="29"/>
  <c r="F85" i="29"/>
  <c r="G74" i="29" s="1"/>
  <c r="F88" i="29"/>
  <c r="G77" i="29" s="1"/>
  <c r="F89" i="29"/>
  <c r="G78" i="29" s="1"/>
  <c r="F86" i="29"/>
  <c r="G75" i="29" s="1"/>
  <c r="F87" i="29"/>
  <c r="G76" i="29" s="1"/>
  <c r="G41" i="34" l="1"/>
  <c r="X41" i="34"/>
  <c r="AB41" i="34"/>
  <c r="AD41" i="34"/>
  <c r="G85" i="29"/>
  <c r="H74" i="29" s="1"/>
  <c r="G73" i="29"/>
  <c r="G84" i="29" s="1"/>
  <c r="G89" i="29"/>
  <c r="H78" i="29" s="1"/>
  <c r="G87" i="29"/>
  <c r="H76" i="29" s="1"/>
  <c r="G88" i="29"/>
  <c r="G86" i="29"/>
  <c r="H75" i="29" s="1"/>
  <c r="F90" i="29"/>
  <c r="AC41" i="34" l="1"/>
  <c r="J41" i="34"/>
  <c r="I41" i="34"/>
  <c r="AE41" i="34" s="1"/>
  <c r="H85" i="29"/>
  <c r="I74" i="29" s="1"/>
  <c r="I85" i="29" s="1"/>
  <c r="H73" i="29"/>
  <c r="H84" i="29" s="1"/>
  <c r="H77" i="29"/>
  <c r="H88" i="29" s="1"/>
  <c r="I77" i="29" s="1"/>
  <c r="H89" i="29"/>
  <c r="I78" i="29" s="1"/>
  <c r="H87" i="29"/>
  <c r="G90" i="29"/>
  <c r="G79" i="29"/>
  <c r="AF41" i="34" l="1"/>
  <c r="B42" i="34"/>
  <c r="F42" i="34"/>
  <c r="H42" i="34" s="1"/>
  <c r="I73" i="29"/>
  <c r="J74" i="29"/>
  <c r="J85" i="29" s="1"/>
  <c r="I76" i="29"/>
  <c r="I87" i="29" s="1"/>
  <c r="I88" i="29"/>
  <c r="J77" i="29" s="1"/>
  <c r="J88" i="29" s="1"/>
  <c r="K77" i="29" s="1"/>
  <c r="I89" i="29"/>
  <c r="H79" i="29"/>
  <c r="H86" i="29"/>
  <c r="AB42" i="34" l="1"/>
  <c r="AD42" i="34"/>
  <c r="G42" i="34"/>
  <c r="X42" i="34"/>
  <c r="H39" i="23"/>
  <c r="J76" i="29"/>
  <c r="J87" i="29" s="1"/>
  <c r="K76" i="29" s="1"/>
  <c r="K74" i="29"/>
  <c r="K85" i="29" s="1"/>
  <c r="I75" i="29"/>
  <c r="J78" i="29"/>
  <c r="J89" i="29" s="1"/>
  <c r="H10" i="23"/>
  <c r="H19" i="23" s="1"/>
  <c r="H23" i="23" s="1"/>
  <c r="H27" i="23" s="1"/>
  <c r="H29" i="23" s="1"/>
  <c r="H80" i="23"/>
  <c r="H90" i="29"/>
  <c r="I84" i="29"/>
  <c r="I40" i="23" s="1"/>
  <c r="K88" i="29"/>
  <c r="L77" i="29" s="1"/>
  <c r="AC42" i="34" l="1"/>
  <c r="J42" i="34"/>
  <c r="I42" i="34"/>
  <c r="AE42" i="34" s="1"/>
  <c r="H32" i="23"/>
  <c r="K78" i="29"/>
  <c r="K89" i="29" s="1"/>
  <c r="J73" i="29"/>
  <c r="J84" i="29" s="1"/>
  <c r="J40" i="23" s="1"/>
  <c r="L74" i="29"/>
  <c r="L85" i="29" s="1"/>
  <c r="K87" i="29"/>
  <c r="L76" i="29" s="1"/>
  <c r="I86" i="29"/>
  <c r="I79" i="29"/>
  <c r="L88" i="29"/>
  <c r="M77" i="29" s="1"/>
  <c r="AF42" i="34" l="1"/>
  <c r="B43" i="34"/>
  <c r="F43" i="34"/>
  <c r="H43" i="34" s="1"/>
  <c r="H79" i="23"/>
  <c r="H91" i="23" s="1"/>
  <c r="H107" i="23" s="1"/>
  <c r="H110" i="23" s="1"/>
  <c r="K73" i="29"/>
  <c r="K84" i="29" s="1"/>
  <c r="K40" i="23" s="1"/>
  <c r="L78" i="29"/>
  <c r="L89" i="29" s="1"/>
  <c r="I42" i="23"/>
  <c r="I41" i="23"/>
  <c r="I39" i="23" s="1"/>
  <c r="M74" i="29"/>
  <c r="M85" i="29" s="1"/>
  <c r="L87" i="29"/>
  <c r="M76" i="29" s="1"/>
  <c r="I90" i="29"/>
  <c r="M88" i="29"/>
  <c r="N77" i="29" s="1"/>
  <c r="AB43" i="34" l="1"/>
  <c r="AD43" i="34"/>
  <c r="G43" i="34"/>
  <c r="X43" i="34"/>
  <c r="I10" i="23"/>
  <c r="I109" i="23"/>
  <c r="H46" i="23"/>
  <c r="H52" i="23" s="1"/>
  <c r="I81" i="23"/>
  <c r="H54" i="23"/>
  <c r="H72" i="23" s="1"/>
  <c r="I61" i="23"/>
  <c r="M87" i="29"/>
  <c r="N76" i="29" s="1"/>
  <c r="M78" i="29"/>
  <c r="M89" i="29" s="1"/>
  <c r="N74" i="29"/>
  <c r="N85" i="29" s="1"/>
  <c r="L73" i="29"/>
  <c r="J86" i="29"/>
  <c r="K75" i="29" s="1"/>
  <c r="J79" i="29"/>
  <c r="N88" i="29"/>
  <c r="O77" i="29" s="1"/>
  <c r="AC43" i="34" l="1"/>
  <c r="J43" i="34"/>
  <c r="I43" i="34"/>
  <c r="AE43" i="34" s="1"/>
  <c r="H73" i="23"/>
  <c r="H74" i="23" s="1"/>
  <c r="N87" i="29"/>
  <c r="O76" i="29" s="1"/>
  <c r="N78" i="29"/>
  <c r="N89" i="29" s="1"/>
  <c r="O78" i="29" s="1"/>
  <c r="O89" i="29" s="1"/>
  <c r="P78" i="29" s="1"/>
  <c r="K79" i="29"/>
  <c r="K80" i="29" s="1"/>
  <c r="K115" i="29" s="1"/>
  <c r="J41" i="23"/>
  <c r="J39" i="23" s="1"/>
  <c r="J42" i="23"/>
  <c r="O74" i="29"/>
  <c r="O85" i="29" s="1"/>
  <c r="J90" i="29"/>
  <c r="O88" i="29"/>
  <c r="P77" i="29" s="1"/>
  <c r="L84" i="29"/>
  <c r="L40" i="23" s="1"/>
  <c r="AF43" i="34" l="1"/>
  <c r="F44" i="34"/>
  <c r="H44" i="34" s="1"/>
  <c r="B44" i="34"/>
  <c r="K71" i="23"/>
  <c r="K114" i="29"/>
  <c r="K70" i="23" s="1"/>
  <c r="K89" i="23" s="1"/>
  <c r="J10" i="23"/>
  <c r="K21" i="23"/>
  <c r="K20" i="23"/>
  <c r="J81" i="23"/>
  <c r="O87" i="29"/>
  <c r="P76" i="29" s="1"/>
  <c r="P74" i="29"/>
  <c r="P85" i="29" s="1"/>
  <c r="M73" i="29"/>
  <c r="K86" i="29"/>
  <c r="P88" i="29"/>
  <c r="Q77" i="29" s="1"/>
  <c r="P89" i="29"/>
  <c r="Q78" i="29" s="1"/>
  <c r="G44" i="34" l="1"/>
  <c r="X44" i="34"/>
  <c r="AB44" i="34"/>
  <c r="AD44" i="34"/>
  <c r="K81" i="23"/>
  <c r="K90" i="29"/>
  <c r="L75" i="29"/>
  <c r="L79" i="29" s="1"/>
  <c r="L80" i="29" s="1"/>
  <c r="L115" i="29" s="1"/>
  <c r="K10" i="23"/>
  <c r="P87" i="29"/>
  <c r="Q74" i="29"/>
  <c r="Q85" i="29" s="1"/>
  <c r="K42" i="23"/>
  <c r="K41" i="23"/>
  <c r="K39" i="23" s="1"/>
  <c r="M84" i="29"/>
  <c r="M40" i="23" s="1"/>
  <c r="Q89" i="29"/>
  <c r="R78" i="29" s="1"/>
  <c r="Q88" i="29"/>
  <c r="R77" i="29" s="1"/>
  <c r="AC44" i="34" l="1"/>
  <c r="I44" i="34"/>
  <c r="AE44" i="34" s="1"/>
  <c r="J44" i="34"/>
  <c r="L114" i="29"/>
  <c r="L70" i="23" s="1"/>
  <c r="L89" i="23" s="1"/>
  <c r="L71" i="23"/>
  <c r="L21" i="23"/>
  <c r="L20" i="23"/>
  <c r="Q76" i="29"/>
  <c r="Q87" i="29" s="1"/>
  <c r="R76" i="29" s="1"/>
  <c r="L86" i="29"/>
  <c r="R74" i="29"/>
  <c r="R85" i="29" s="1"/>
  <c r="N73" i="29"/>
  <c r="N84" i="29" s="1"/>
  <c r="N40" i="23" s="1"/>
  <c r="R88" i="29"/>
  <c r="S77" i="29" s="1"/>
  <c r="R89" i="29"/>
  <c r="S78" i="29" s="1"/>
  <c r="AF44" i="34" l="1"/>
  <c r="B45" i="34"/>
  <c r="F45" i="34"/>
  <c r="H45" i="34" s="1"/>
  <c r="L10" i="23"/>
  <c r="R87" i="29"/>
  <c r="S76" i="29" s="1"/>
  <c r="L41" i="23"/>
  <c r="L39" i="23" s="1"/>
  <c r="M75" i="29"/>
  <c r="M79" i="29" s="1"/>
  <c r="M80" i="29" s="1"/>
  <c r="M115" i="29" s="1"/>
  <c r="L81" i="23"/>
  <c r="L90" i="29"/>
  <c r="L42" i="23"/>
  <c r="O73" i="29"/>
  <c r="S74" i="29"/>
  <c r="S85" i="29" s="1"/>
  <c r="S89" i="29"/>
  <c r="T78" i="29" s="1"/>
  <c r="S88" i="29"/>
  <c r="T77" i="29" s="1"/>
  <c r="AD45" i="34" l="1"/>
  <c r="AB45" i="34"/>
  <c r="G45" i="34"/>
  <c r="X45" i="34"/>
  <c r="M114" i="29"/>
  <c r="M70" i="23" s="1"/>
  <c r="M89" i="23" s="1"/>
  <c r="M71" i="23"/>
  <c r="S87" i="29"/>
  <c r="T76" i="29" s="1"/>
  <c r="T87" i="29" s="1"/>
  <c r="M21" i="23"/>
  <c r="M20" i="23"/>
  <c r="M86" i="29"/>
  <c r="T74" i="29"/>
  <c r="T85" i="29" s="1"/>
  <c r="T88" i="29"/>
  <c r="T89" i="29"/>
  <c r="O84" i="29"/>
  <c r="O40" i="23" s="1"/>
  <c r="U74" i="29" l="1"/>
  <c r="U85" i="29" s="1"/>
  <c r="U76" i="29"/>
  <c r="U87" i="29" s="1"/>
  <c r="U78" i="29"/>
  <c r="U89" i="29" s="1"/>
  <c r="U77" i="29"/>
  <c r="U88" i="29" s="1"/>
  <c r="AC45" i="34"/>
  <c r="I45" i="34"/>
  <c r="AE45" i="34" s="1"/>
  <c r="J45" i="34"/>
  <c r="M81" i="23"/>
  <c r="M42" i="23"/>
  <c r="N75" i="29"/>
  <c r="N79" i="29" s="1"/>
  <c r="N80" i="29" s="1"/>
  <c r="N115" i="29" s="1"/>
  <c r="M10" i="23"/>
  <c r="M90" i="29"/>
  <c r="M41" i="23"/>
  <c r="M39" i="23" s="1"/>
  <c r="P73" i="29"/>
  <c r="P84" i="29" s="1"/>
  <c r="P40" i="23" s="1"/>
  <c r="AF45" i="34" l="1"/>
  <c r="F46" i="34"/>
  <c r="H46" i="34" s="1"/>
  <c r="B46" i="34"/>
  <c r="N114" i="29"/>
  <c r="N70" i="23" s="1"/>
  <c r="N89" i="23" s="1"/>
  <c r="N71" i="23"/>
  <c r="N21" i="23"/>
  <c r="N20" i="23"/>
  <c r="N86" i="29"/>
  <c r="Q73" i="29"/>
  <c r="X46" i="34" l="1"/>
  <c r="G46" i="34"/>
  <c r="J46" i="34" s="1"/>
  <c r="AB46" i="34"/>
  <c r="AD46" i="34"/>
  <c r="N81" i="23"/>
  <c r="N42" i="23"/>
  <c r="O75" i="29"/>
  <c r="O79" i="29" s="1"/>
  <c r="O80" i="29" s="1"/>
  <c r="O115" i="29" s="1"/>
  <c r="N10" i="23"/>
  <c r="N41" i="23"/>
  <c r="N39" i="23" s="1"/>
  <c r="N90" i="29"/>
  <c r="Q84" i="29"/>
  <c r="Q40" i="23" s="1"/>
  <c r="AF46" i="34" l="1"/>
  <c r="B47" i="34"/>
  <c r="X47" i="34" s="1"/>
  <c r="F47" i="34"/>
  <c r="H47" i="34" s="1"/>
  <c r="AC46" i="34"/>
  <c r="I46" i="34"/>
  <c r="AE46" i="34" s="1"/>
  <c r="O114" i="29"/>
  <c r="O70" i="23" s="1"/>
  <c r="O89" i="23" s="1"/>
  <c r="O71" i="23"/>
  <c r="O21" i="23"/>
  <c r="O20" i="23"/>
  <c r="G47" i="34"/>
  <c r="AC47" i="34" s="1"/>
  <c r="O86" i="29"/>
  <c r="R73" i="29"/>
  <c r="R84" i="29" s="1"/>
  <c r="R40" i="23" s="1"/>
  <c r="AD47" i="34" l="1"/>
  <c r="AB47" i="34"/>
  <c r="O10" i="23"/>
  <c r="P75" i="29"/>
  <c r="P79" i="29" s="1"/>
  <c r="P80" i="29" s="1"/>
  <c r="P115" i="29" s="1"/>
  <c r="J47" i="34"/>
  <c r="AF47" i="34" s="1"/>
  <c r="O81" i="23"/>
  <c r="O41" i="23"/>
  <c r="O39" i="23" s="1"/>
  <c r="O90" i="29"/>
  <c r="O42" i="23"/>
  <c r="S73" i="29"/>
  <c r="S84" i="29" s="1"/>
  <c r="S40" i="23" s="1"/>
  <c r="I47" i="34" l="1"/>
  <c r="AE47" i="34" s="1"/>
  <c r="P114" i="29"/>
  <c r="P70" i="23" s="1"/>
  <c r="P89" i="23" s="1"/>
  <c r="P71" i="23"/>
  <c r="P21" i="23"/>
  <c r="P20" i="23"/>
  <c r="P86" i="29"/>
  <c r="P90" i="29" s="1"/>
  <c r="F48" i="34"/>
  <c r="H48" i="34" s="1"/>
  <c r="B48" i="34"/>
  <c r="P42" i="23"/>
  <c r="T73" i="29"/>
  <c r="T84" i="29" s="1"/>
  <c r="U73" i="29" l="1"/>
  <c r="T40" i="23"/>
  <c r="Q75" i="29"/>
  <c r="Q79" i="29" s="1"/>
  <c r="Q80" i="29" s="1"/>
  <c r="Q115" i="29" s="1"/>
  <c r="P81" i="23"/>
  <c r="P41" i="23"/>
  <c r="P39" i="23" s="1"/>
  <c r="AD48" i="34"/>
  <c r="AB48" i="34"/>
  <c r="G48" i="34"/>
  <c r="AC48" i="34" s="1"/>
  <c r="X48" i="34"/>
  <c r="P10" i="23"/>
  <c r="U84" i="29" l="1"/>
  <c r="I48" i="34"/>
  <c r="AE48" i="34" s="1"/>
  <c r="Q114" i="29"/>
  <c r="Q70" i="23" s="1"/>
  <c r="Q89" i="23" s="1"/>
  <c r="Q71" i="23"/>
  <c r="Q86" i="29"/>
  <c r="R75" i="29" s="1"/>
  <c r="R79" i="29" s="1"/>
  <c r="R80" i="29" s="1"/>
  <c r="Q10" i="23"/>
  <c r="Q21" i="23"/>
  <c r="Q20" i="23"/>
  <c r="J48" i="34"/>
  <c r="AF48" i="34" s="1"/>
  <c r="Q42" i="23" l="1"/>
  <c r="Q81" i="23"/>
  <c r="R21" i="23"/>
  <c r="R115" i="29"/>
  <c r="R86" i="29"/>
  <c r="S75" i="29" s="1"/>
  <c r="S79" i="29" s="1"/>
  <c r="S80" i="29" s="1"/>
  <c r="Q90" i="29"/>
  <c r="R10" i="23"/>
  <c r="Q41" i="23"/>
  <c r="Q39" i="23" s="1"/>
  <c r="R20" i="23"/>
  <c r="F49" i="34"/>
  <c r="H49" i="34" s="1"/>
  <c r="B49" i="34"/>
  <c r="S115" i="29" l="1"/>
  <c r="S114" i="29" s="1"/>
  <c r="S70" i="23" s="1"/>
  <c r="R41" i="23"/>
  <c r="R39" i="23" s="1"/>
  <c r="R81" i="23"/>
  <c r="R90" i="29"/>
  <c r="R114" i="29"/>
  <c r="R70" i="23" s="1"/>
  <c r="R89" i="23" s="1"/>
  <c r="R71" i="23"/>
  <c r="R42" i="23"/>
  <c r="S21" i="23"/>
  <c r="S20" i="23"/>
  <c r="AB49" i="34"/>
  <c r="G49" i="34"/>
  <c r="X49" i="34"/>
  <c r="S86" i="29"/>
  <c r="T75" i="29" s="1"/>
  <c r="S71" i="23" l="1"/>
  <c r="S89" i="23"/>
  <c r="S81" i="23"/>
  <c r="AC49" i="34"/>
  <c r="I49" i="34"/>
  <c r="AE49" i="34" s="1"/>
  <c r="AD49" i="34"/>
  <c r="J49" i="34"/>
  <c r="AF49" i="34" s="1"/>
  <c r="S10" i="23"/>
  <c r="T79" i="29"/>
  <c r="T80" i="29" s="1"/>
  <c r="T115" i="29" s="1"/>
  <c r="S41" i="23"/>
  <c r="S39" i="23" s="1"/>
  <c r="S42" i="23"/>
  <c r="S90" i="29"/>
  <c r="T114" i="29" l="1"/>
  <c r="T70" i="23" s="1"/>
  <c r="T89" i="23" s="1"/>
  <c r="T71" i="23"/>
  <c r="T21" i="23"/>
  <c r="T20" i="23"/>
  <c r="F50" i="34"/>
  <c r="H50" i="34" s="1"/>
  <c r="B50" i="34"/>
  <c r="T86" i="29"/>
  <c r="U75" i="29" l="1"/>
  <c r="U79" i="29" s="1"/>
  <c r="U80" i="29" s="1"/>
  <c r="U115" i="29" s="1"/>
  <c r="U114" i="29" s="1"/>
  <c r="T81" i="23"/>
  <c r="AB50" i="34"/>
  <c r="G50" i="34"/>
  <c r="X50" i="34"/>
  <c r="T10" i="23"/>
  <c r="T42" i="23"/>
  <c r="T41" i="23"/>
  <c r="T39" i="23" s="1"/>
  <c r="T90" i="29"/>
  <c r="U86" i="29" l="1"/>
  <c r="AC50" i="34"/>
  <c r="I50" i="34"/>
  <c r="AE50" i="34" s="1"/>
  <c r="AD50" i="34"/>
  <c r="J50" i="34"/>
  <c r="AF50" i="34" s="1"/>
  <c r="U90" i="29" l="1"/>
  <c r="B51" i="34"/>
  <c r="F51" i="34"/>
  <c r="H51" i="34" s="1"/>
  <c r="AB51" i="34" l="1"/>
  <c r="G51" i="34"/>
  <c r="X51" i="34"/>
  <c r="AC51" i="34" l="1"/>
  <c r="I51" i="34"/>
  <c r="AE51" i="34" s="1"/>
  <c r="AD51" i="34"/>
  <c r="J51" i="34"/>
  <c r="AF51" i="34" s="1"/>
  <c r="F52" i="34" l="1"/>
  <c r="H52" i="34" s="1"/>
  <c r="B52" i="34"/>
  <c r="AB52" i="34" l="1"/>
  <c r="G52" i="34"/>
  <c r="X52" i="34"/>
  <c r="AC52" i="34" l="1"/>
  <c r="I52" i="34"/>
  <c r="AE52" i="34" s="1"/>
  <c r="AD52" i="34"/>
  <c r="J52" i="34"/>
  <c r="AF52" i="34" s="1"/>
  <c r="F53" i="34" l="1"/>
  <c r="H53" i="34" s="1"/>
  <c r="B53" i="34"/>
  <c r="AB53" i="34" l="1"/>
  <c r="G53" i="34"/>
  <c r="AC53" i="34" s="1"/>
  <c r="X53" i="34"/>
  <c r="I53" i="34" l="1"/>
  <c r="AE53" i="34" s="1"/>
  <c r="AD53" i="34"/>
  <c r="J53" i="34"/>
  <c r="AF53" i="34" s="1"/>
  <c r="F54" i="34" l="1"/>
  <c r="H54" i="34" s="1"/>
  <c r="B54" i="34"/>
  <c r="AD54" i="34" l="1"/>
  <c r="AB54" i="34"/>
  <c r="G54" i="34"/>
  <c r="AC54" i="34" s="1"/>
  <c r="X54" i="34"/>
  <c r="I54" i="34" l="1"/>
  <c r="AE54" i="34" s="1"/>
  <c r="J54" i="34"/>
  <c r="AF54" i="34" s="1"/>
  <c r="I21" i="35"/>
  <c r="B55" i="34" l="1"/>
  <c r="F55" i="34"/>
  <c r="H55" i="34" s="1"/>
  <c r="I26" i="23"/>
  <c r="I105" i="23"/>
  <c r="J105" i="23"/>
  <c r="J39" i="35" l="1"/>
  <c r="J103" i="23" s="1"/>
  <c r="AD55" i="34"/>
  <c r="AB55" i="34"/>
  <c r="G55" i="34"/>
  <c r="AC55" i="34" s="1"/>
  <c r="X55" i="34"/>
  <c r="I103" i="29"/>
  <c r="I29" i="35"/>
  <c r="J103" i="29"/>
  <c r="I88" i="23"/>
  <c r="I19" i="35" l="1"/>
  <c r="H46" i="35" s="1"/>
  <c r="H44" i="35" s="1"/>
  <c r="I30" i="35"/>
  <c r="J30" i="35" s="1"/>
  <c r="I55" i="34"/>
  <c r="AE55" i="34" s="1"/>
  <c r="J55" i="34"/>
  <c r="AF55" i="34" s="1"/>
  <c r="K30" i="35" l="1"/>
  <c r="I39" i="35"/>
  <c r="I20" i="35"/>
  <c r="F56" i="34"/>
  <c r="H56" i="34" s="1"/>
  <c r="B56" i="34"/>
  <c r="J102" i="23"/>
  <c r="J17" i="35" l="1"/>
  <c r="I45" i="35"/>
  <c r="I102" i="23"/>
  <c r="I103" i="23"/>
  <c r="AD56" i="34"/>
  <c r="AB56" i="34"/>
  <c r="G56" i="34"/>
  <c r="X56" i="34"/>
  <c r="I43" i="35"/>
  <c r="I44" i="35" s="1"/>
  <c r="I66" i="23" s="1"/>
  <c r="J20" i="35"/>
  <c r="I41" i="35"/>
  <c r="I25" i="23" s="1"/>
  <c r="I90" i="23" s="1"/>
  <c r="K17" i="35" l="1"/>
  <c r="I7" i="23"/>
  <c r="I5" i="23" s="1"/>
  <c r="I19" i="23" s="1"/>
  <c r="I23" i="23" s="1"/>
  <c r="I27" i="23" s="1"/>
  <c r="I29" i="23" s="1"/>
  <c r="I30" i="23" s="1"/>
  <c r="I32" i="23" s="1"/>
  <c r="I79" i="23" s="1"/>
  <c r="I64" i="23"/>
  <c r="J56" i="34"/>
  <c r="AF56" i="34" s="1"/>
  <c r="AC56" i="34"/>
  <c r="I104" i="23"/>
  <c r="J43" i="35"/>
  <c r="F57" i="34"/>
  <c r="H57" i="34" s="1"/>
  <c r="I56" i="34"/>
  <c r="AE56" i="34" s="1"/>
  <c r="B57" i="34" l="1"/>
  <c r="I101" i="23"/>
  <c r="AD57" i="34"/>
  <c r="AB57" i="34"/>
  <c r="G57" i="34"/>
  <c r="AC57" i="34" s="1"/>
  <c r="X57" i="34"/>
  <c r="I62" i="23"/>
  <c r="I54" i="23" s="1"/>
  <c r="I72" i="23" s="1"/>
  <c r="J41" i="35"/>
  <c r="J25" i="23" s="1"/>
  <c r="J90" i="23" s="1"/>
  <c r="I106" i="23" l="1"/>
  <c r="J7" i="23"/>
  <c r="J5" i="23" s="1"/>
  <c r="J19" i="23" s="1"/>
  <c r="J23" i="23" s="1"/>
  <c r="J27" i="23" s="1"/>
  <c r="J29" i="23" s="1"/>
  <c r="J30" i="23" s="1"/>
  <c r="J32" i="23" s="1"/>
  <c r="J61" i="23"/>
  <c r="J104" i="23"/>
  <c r="I57" i="34"/>
  <c r="AE57" i="34" s="1"/>
  <c r="J57" i="34"/>
  <c r="AF57" i="34" s="1"/>
  <c r="J79" i="23" l="1"/>
  <c r="J62" i="23"/>
  <c r="K61" i="23" s="1"/>
  <c r="J101" i="23"/>
  <c r="F58" i="34"/>
  <c r="H58" i="34" s="1"/>
  <c r="B58" i="34"/>
  <c r="J54" i="23" l="1"/>
  <c r="J106" i="23"/>
  <c r="AD58" i="34"/>
  <c r="AB58" i="34"/>
  <c r="G58" i="34"/>
  <c r="AC58" i="34" s="1"/>
  <c r="X58" i="34"/>
  <c r="I58" i="34" l="1"/>
  <c r="AE58" i="34" s="1"/>
  <c r="J58" i="34"/>
  <c r="AF58" i="34" s="1"/>
  <c r="B59" i="34" l="1"/>
  <c r="F59" i="34"/>
  <c r="H59" i="34" s="1"/>
  <c r="AD59" i="34" l="1"/>
  <c r="AB59" i="34"/>
  <c r="G59" i="34"/>
  <c r="X59" i="34"/>
  <c r="J59" i="34" l="1"/>
  <c r="AF59" i="34" s="1"/>
  <c r="AC59" i="34"/>
  <c r="I59" i="34"/>
  <c r="AE59" i="34" s="1"/>
  <c r="B60" i="34" l="1"/>
  <c r="X60" i="34" s="1"/>
  <c r="F60" i="34"/>
  <c r="H60" i="34" s="1"/>
  <c r="G60" i="34"/>
  <c r="AC60" i="34" s="1"/>
  <c r="AD60" i="34" l="1"/>
  <c r="AB60" i="34"/>
  <c r="J60" i="34"/>
  <c r="AF60" i="34" s="1"/>
  <c r="I60" i="34" l="1"/>
  <c r="AE60" i="34" s="1"/>
  <c r="F61" i="34"/>
  <c r="H61" i="34" s="1"/>
  <c r="B61" i="34"/>
  <c r="AB61" i="34" l="1"/>
  <c r="G61" i="34"/>
  <c r="X61" i="34"/>
  <c r="AC61" i="34" l="1"/>
  <c r="J61" i="34"/>
  <c r="AF61" i="34" s="1"/>
  <c r="I61" i="34"/>
  <c r="AE61" i="34" s="1"/>
  <c r="AD61" i="34"/>
  <c r="B62" i="34" l="1"/>
  <c r="G62" i="34" s="1"/>
  <c r="F62" i="34"/>
  <c r="H62" i="34" s="1"/>
  <c r="I80" i="23"/>
  <c r="I91" i="23" s="1"/>
  <c r="I107" i="23" s="1"/>
  <c r="I110" i="23" s="1"/>
  <c r="X62" i="34" l="1"/>
  <c r="AB62" i="34"/>
  <c r="AC62" i="34"/>
  <c r="AD62" i="34"/>
  <c r="I62" i="34"/>
  <c r="AE62" i="34" s="1"/>
  <c r="J62" i="34"/>
  <c r="AF62" i="34" s="1"/>
  <c r="I50" i="23"/>
  <c r="J109" i="23"/>
  <c r="I49" i="23"/>
  <c r="I46" i="23" s="1"/>
  <c r="I52" i="23" s="1"/>
  <c r="I73" i="23" s="1"/>
  <c r="I74" i="23" s="1"/>
  <c r="F63" i="34" l="1"/>
  <c r="H63" i="34" s="1"/>
  <c r="B63" i="34"/>
  <c r="AB63" i="34" l="1"/>
  <c r="G63" i="34"/>
  <c r="X63" i="34"/>
  <c r="AC63" i="34" l="1"/>
  <c r="AD63" i="34"/>
  <c r="I63" i="34"/>
  <c r="AE63" i="34" s="1"/>
  <c r="J63" i="34"/>
  <c r="AF63" i="34" s="1"/>
  <c r="F64" i="34" l="1"/>
  <c r="H64" i="34" s="1"/>
  <c r="B64" i="34"/>
  <c r="AB64" i="34" l="1"/>
  <c r="G64" i="34"/>
  <c r="X64" i="34"/>
  <c r="AC64" i="34" l="1"/>
  <c r="AD64" i="34"/>
  <c r="I64" i="34"/>
  <c r="AE64" i="34" s="1"/>
  <c r="J64" i="34"/>
  <c r="B65" i="34" l="1"/>
  <c r="G65" i="34" s="1"/>
  <c r="AF64" i="34"/>
  <c r="F65" i="34"/>
  <c r="H65" i="34" s="1"/>
  <c r="X65" i="34" l="1"/>
  <c r="J65" i="34"/>
  <c r="AF65" i="34" s="1"/>
  <c r="AC65" i="34"/>
  <c r="AB65" i="34"/>
  <c r="I65" i="34"/>
  <c r="AE65" i="34" s="1"/>
  <c r="B66" i="34" l="1"/>
  <c r="F66" i="34"/>
  <c r="AD65" i="34"/>
  <c r="G66" i="34"/>
  <c r="AC66" i="34" s="1"/>
  <c r="X66" i="34"/>
  <c r="H66" i="34" l="1"/>
  <c r="AD66" i="34" s="1"/>
  <c r="AB66" i="34"/>
  <c r="J66" i="34"/>
  <c r="AF66" i="34" s="1"/>
  <c r="I66" i="34" l="1"/>
  <c r="AE66" i="34" s="1"/>
  <c r="F67" i="34"/>
  <c r="H67" i="34" s="1"/>
  <c r="B67" i="34"/>
  <c r="AD67" i="34" l="1"/>
  <c r="AB67" i="34"/>
  <c r="G67" i="34"/>
  <c r="AC67" i="34" s="1"/>
  <c r="X67" i="34"/>
  <c r="I67" i="34" l="1"/>
  <c r="AE67" i="34" s="1"/>
  <c r="J67" i="34"/>
  <c r="AF67" i="34" s="1"/>
  <c r="F68" i="34" l="1"/>
  <c r="H68" i="34" s="1"/>
  <c r="B68" i="34"/>
  <c r="AD68" i="34" l="1"/>
  <c r="AB68" i="34"/>
  <c r="G68" i="34"/>
  <c r="AC68" i="34" s="1"/>
  <c r="X68" i="34"/>
  <c r="I68" i="34" l="1"/>
  <c r="AE68" i="34" s="1"/>
  <c r="J68" i="34"/>
  <c r="AF68" i="34" s="1"/>
  <c r="B69" i="34" l="1"/>
  <c r="F69" i="34"/>
  <c r="H69" i="34" s="1"/>
  <c r="AD69" i="34" l="1"/>
  <c r="AB69" i="34"/>
  <c r="G69" i="34"/>
  <c r="AC69" i="34" s="1"/>
  <c r="X69" i="34"/>
  <c r="I69" i="34" l="1"/>
  <c r="AE69" i="34" s="1"/>
  <c r="J69" i="34"/>
  <c r="AF69" i="34" s="1"/>
  <c r="F70" i="34" l="1"/>
  <c r="H70" i="34" s="1"/>
  <c r="B70" i="34"/>
  <c r="AD70" i="34" l="1"/>
  <c r="AB70" i="34"/>
  <c r="G70" i="34"/>
  <c r="AC70" i="34" s="1"/>
  <c r="X70" i="34"/>
  <c r="I70" i="34" l="1"/>
  <c r="AE70" i="34" s="1"/>
  <c r="J70" i="34"/>
  <c r="AF70" i="34" s="1"/>
  <c r="F71" i="34" l="1"/>
  <c r="H71" i="34" s="1"/>
  <c r="B71" i="34"/>
  <c r="AD71" i="34" l="1"/>
  <c r="AB71" i="34"/>
  <c r="G71" i="34"/>
  <c r="AC71" i="34" s="1"/>
  <c r="X71" i="34"/>
  <c r="I71" i="34" l="1"/>
  <c r="AE71" i="34" s="1"/>
  <c r="J71" i="34"/>
  <c r="AF71" i="34" s="1"/>
  <c r="F72" i="34" l="1"/>
  <c r="H72" i="34" s="1"/>
  <c r="B72" i="34"/>
  <c r="AD72" i="34" l="1"/>
  <c r="AB72" i="34"/>
  <c r="G72" i="34"/>
  <c r="AC72" i="34" s="1"/>
  <c r="X72" i="34"/>
  <c r="I72" i="34" l="1"/>
  <c r="AE72" i="34" s="1"/>
  <c r="J72" i="34"/>
  <c r="AF72" i="34" s="1"/>
  <c r="F73" i="34" l="1"/>
  <c r="H73" i="34" s="1"/>
  <c r="B73" i="34"/>
  <c r="AB73" i="34" l="1"/>
  <c r="G73" i="34"/>
  <c r="X73" i="34"/>
  <c r="J73" i="34" l="1"/>
  <c r="AF73" i="34" s="1"/>
  <c r="AC73" i="34"/>
  <c r="I73" i="34"/>
  <c r="AE73" i="34" s="1"/>
  <c r="AD73" i="34"/>
  <c r="F74" i="34"/>
  <c r="H74" i="34" s="1"/>
  <c r="B74" i="34" l="1"/>
  <c r="G74" i="34" s="1"/>
  <c r="AB74" i="34"/>
  <c r="X74" i="34" l="1"/>
  <c r="AC74" i="34"/>
  <c r="AD74" i="34"/>
  <c r="I74" i="34"/>
  <c r="AE74" i="34" s="1"/>
  <c r="J74" i="34"/>
  <c r="F75" i="34" l="1"/>
  <c r="H75" i="34" s="1"/>
  <c r="AF74" i="34"/>
  <c r="B75" i="34"/>
  <c r="AB75" i="34" l="1"/>
  <c r="AD75" i="34"/>
  <c r="G75" i="34"/>
  <c r="X75" i="34"/>
  <c r="AC75" i="34" l="1"/>
  <c r="I75" i="34"/>
  <c r="AE75" i="34" s="1"/>
  <c r="J75" i="34"/>
  <c r="AF75" i="34" s="1"/>
  <c r="B76" i="34" l="1"/>
  <c r="F76" i="34"/>
  <c r="H76" i="34" s="1"/>
  <c r="AB76" i="34" l="1"/>
  <c r="G76" i="34"/>
  <c r="AC76" i="34" s="1"/>
  <c r="X76" i="34"/>
  <c r="J76" i="34" l="1"/>
  <c r="AF76" i="34" s="1"/>
  <c r="I76" i="34"/>
  <c r="AE76" i="34" s="1"/>
  <c r="AD76" i="34"/>
  <c r="F77" i="34" l="1"/>
  <c r="H77" i="34" s="1"/>
  <c r="B77" i="34"/>
  <c r="G77" i="34" s="1"/>
  <c r="AC77" i="34" s="1"/>
  <c r="X77" i="34" l="1"/>
  <c r="AB77" i="34"/>
  <c r="J77" i="34"/>
  <c r="AF77" i="34" s="1"/>
  <c r="AD77" i="34"/>
  <c r="I77" i="34"/>
  <c r="AE77" i="34" s="1"/>
  <c r="F78" i="34"/>
  <c r="H78" i="34" s="1"/>
  <c r="B78" i="34" l="1"/>
  <c r="G78" i="34" s="1"/>
  <c r="AC78" i="34" s="1"/>
  <c r="AD78" i="34"/>
  <c r="AB78" i="34"/>
  <c r="X78" i="34" l="1"/>
  <c r="I78" i="34"/>
  <c r="AE78" i="34" s="1"/>
  <c r="J78" i="34"/>
  <c r="AF78" i="34" s="1"/>
  <c r="B79" i="34" l="1"/>
  <c r="F79" i="34"/>
  <c r="H79" i="34" s="1"/>
  <c r="AD79" i="34" l="1"/>
  <c r="AB79" i="34"/>
  <c r="G79" i="34"/>
  <c r="AC79" i="34" s="1"/>
  <c r="X79" i="34"/>
  <c r="I79" i="34" l="1"/>
  <c r="AE79" i="34" s="1"/>
  <c r="J79" i="34"/>
  <c r="AF79" i="34" s="1"/>
  <c r="B80" i="34" l="1"/>
  <c r="F80" i="34"/>
  <c r="H80" i="34" s="1"/>
  <c r="AD80" i="34" l="1"/>
  <c r="AB80" i="34"/>
  <c r="G80" i="34"/>
  <c r="AC80" i="34" s="1"/>
  <c r="X80" i="34"/>
  <c r="I80" i="34" l="1"/>
  <c r="AE80" i="34" s="1"/>
  <c r="J80" i="34"/>
  <c r="AF80" i="34" s="1"/>
  <c r="F81" i="34" l="1"/>
  <c r="H81" i="34" s="1"/>
  <c r="B81" i="34"/>
  <c r="AD81" i="34" l="1"/>
  <c r="AB81" i="34"/>
  <c r="G81" i="34"/>
  <c r="AC81" i="34" s="1"/>
  <c r="X81" i="34"/>
  <c r="I81" i="34" l="1"/>
  <c r="AE81" i="34" s="1"/>
  <c r="J81" i="34"/>
  <c r="AF81" i="34" s="1"/>
  <c r="B82" i="34" l="1"/>
  <c r="F82" i="34"/>
  <c r="H82" i="34" s="1"/>
  <c r="AD82" i="34" l="1"/>
  <c r="AB82" i="34"/>
  <c r="G82" i="34"/>
  <c r="AC82" i="34" s="1"/>
  <c r="X82" i="34"/>
  <c r="I82" i="34" l="1"/>
  <c r="AE82" i="34" s="1"/>
  <c r="J82" i="34"/>
  <c r="AF82" i="34" s="1"/>
  <c r="B83" i="34" l="1"/>
  <c r="F83" i="34"/>
  <c r="H83" i="34" s="1"/>
  <c r="AD83" i="34" l="1"/>
  <c r="AB83" i="34"/>
  <c r="G83" i="34"/>
  <c r="AC83" i="34" s="1"/>
  <c r="X83" i="34"/>
  <c r="I83" i="34" l="1"/>
  <c r="AE83" i="34" s="1"/>
  <c r="J83" i="34"/>
  <c r="AF83" i="34" s="1"/>
  <c r="F84" i="34" l="1"/>
  <c r="H84" i="34" s="1"/>
  <c r="B84" i="34"/>
  <c r="AD84" i="34" l="1"/>
  <c r="AB84" i="34"/>
  <c r="G84" i="34"/>
  <c r="AC84" i="34" s="1"/>
  <c r="X84" i="34"/>
  <c r="I84" i="34" l="1"/>
  <c r="AE84" i="34" s="1"/>
  <c r="J84" i="34"/>
  <c r="AF84" i="34" s="1"/>
  <c r="F85" i="34" l="1"/>
  <c r="H85" i="34" s="1"/>
  <c r="B85" i="34"/>
  <c r="AB85" i="34" l="1"/>
  <c r="G85" i="34"/>
  <c r="X85" i="34"/>
  <c r="AC85" i="34" l="1"/>
  <c r="J85" i="34"/>
  <c r="AF85" i="34" s="1"/>
  <c r="AD85" i="34"/>
  <c r="I85" i="34"/>
  <c r="AE85" i="34" s="1"/>
  <c r="B86" i="34" l="1"/>
  <c r="X86" i="34" s="1"/>
  <c r="F86" i="34"/>
  <c r="H86" i="34" s="1"/>
  <c r="G86" i="34" l="1"/>
  <c r="AB86" i="34"/>
  <c r="AC86" i="34"/>
  <c r="J86" i="34"/>
  <c r="AF86" i="34" s="1"/>
  <c r="I86" i="34"/>
  <c r="AE86" i="34" s="1"/>
  <c r="AD86" i="34"/>
  <c r="B87" i="34" l="1"/>
  <c r="X87" i="34" s="1"/>
  <c r="F87" i="34"/>
  <c r="H87" i="34" s="1"/>
  <c r="G87" i="34"/>
  <c r="AB87" i="34" l="1"/>
  <c r="AC87" i="34"/>
  <c r="J87" i="34"/>
  <c r="AF87" i="34" s="1"/>
  <c r="I87" i="34"/>
  <c r="AE87" i="34" s="1"/>
  <c r="AD87" i="34"/>
  <c r="F88" i="34" l="1"/>
  <c r="H88" i="34" s="1"/>
  <c r="B88" i="34"/>
  <c r="X88" i="34" s="1"/>
  <c r="G88" i="34" l="1"/>
  <c r="AC88" i="34" s="1"/>
  <c r="AB88" i="34"/>
  <c r="I88" i="34"/>
  <c r="AE88" i="34" s="1"/>
  <c r="AD88" i="34"/>
  <c r="J88" i="34" l="1"/>
  <c r="AF88" i="34" s="1"/>
  <c r="B89" i="34" l="1"/>
  <c r="X89" i="34" s="1"/>
  <c r="F89" i="34"/>
  <c r="H89" i="34" l="1"/>
  <c r="AD89" i="34" s="1"/>
  <c r="AB89" i="34"/>
  <c r="G89" i="34"/>
  <c r="AC89" i="34" s="1"/>
  <c r="I89" i="34" l="1"/>
  <c r="AE89" i="34" s="1"/>
  <c r="J89" i="34"/>
  <c r="AF89" i="34" s="1"/>
  <c r="B90" i="34" l="1"/>
  <c r="F90" i="34"/>
  <c r="G90" i="34"/>
  <c r="X90" i="34"/>
  <c r="AB90" i="34" l="1"/>
  <c r="H90" i="34"/>
  <c r="AD90" i="34" s="1"/>
  <c r="AC90" i="34"/>
  <c r="J90" i="34"/>
  <c r="I90" i="34" l="1"/>
  <c r="AE90" i="34" s="1"/>
  <c r="AF90" i="34"/>
  <c r="F91" i="34"/>
  <c r="H91" i="34" s="1"/>
  <c r="B91" i="34"/>
  <c r="AB91" i="34" l="1"/>
  <c r="AD91" i="34"/>
  <c r="X91" i="34"/>
  <c r="G91" i="34"/>
  <c r="AC91" i="34" l="1"/>
  <c r="I91" i="34"/>
  <c r="AE91" i="34" s="1"/>
  <c r="J91" i="34"/>
  <c r="AF91" i="34" l="1"/>
  <c r="F92" i="34"/>
  <c r="H92" i="34" s="1"/>
  <c r="B92" i="34"/>
  <c r="G92" i="34" l="1"/>
  <c r="J92" i="34" s="1"/>
  <c r="X92" i="34"/>
  <c r="AB92" i="34"/>
  <c r="AD92" i="34"/>
  <c r="AF92" i="34" l="1"/>
  <c r="B93" i="34"/>
  <c r="F93" i="34"/>
  <c r="H93" i="34" s="1"/>
  <c r="AC92" i="34"/>
  <c r="I92" i="34"/>
  <c r="AE92" i="34" s="1"/>
  <c r="G93" i="34"/>
  <c r="AC93" i="34" s="1"/>
  <c r="X93" i="34"/>
  <c r="AD93" i="34" l="1"/>
  <c r="AB93" i="34"/>
  <c r="J93" i="34"/>
  <c r="AF93" i="34" s="1"/>
  <c r="I93" i="34" l="1"/>
  <c r="AE93" i="34" s="1"/>
  <c r="B94" i="34"/>
  <c r="F94" i="34"/>
  <c r="H94" i="34" s="1"/>
  <c r="AD94" i="34" l="1"/>
  <c r="AB94" i="34"/>
  <c r="G94" i="34"/>
  <c r="AC94" i="34" s="1"/>
  <c r="X94" i="34"/>
  <c r="I94" i="34" l="1"/>
  <c r="AE94" i="34" s="1"/>
  <c r="J94" i="34"/>
  <c r="AF94" i="34" s="1"/>
  <c r="B95" i="34" l="1"/>
  <c r="F95" i="34"/>
  <c r="H95" i="34" s="1"/>
  <c r="AD95" i="34" l="1"/>
  <c r="AB95" i="34"/>
  <c r="G95" i="34"/>
  <c r="AC95" i="34" s="1"/>
  <c r="X95" i="34"/>
  <c r="I95" i="34" l="1"/>
  <c r="AE95" i="34" s="1"/>
  <c r="J95" i="34"/>
  <c r="AF95" i="34" s="1"/>
  <c r="B96" i="34" l="1"/>
  <c r="F96" i="34"/>
  <c r="H96" i="34" s="1"/>
  <c r="AD96" i="34" l="1"/>
  <c r="AB96" i="34"/>
  <c r="G96" i="34"/>
  <c r="AC96" i="34" s="1"/>
  <c r="X96" i="34"/>
  <c r="I96" i="34" l="1"/>
  <c r="AE96" i="34" s="1"/>
  <c r="J96" i="34"/>
  <c r="AF96" i="34" s="1"/>
  <c r="B97" i="34" l="1"/>
  <c r="F97" i="34"/>
  <c r="H97" i="34" s="1"/>
  <c r="AB97" i="34" l="1"/>
  <c r="G97" i="34"/>
  <c r="X97" i="34"/>
  <c r="AC97" i="34" l="1"/>
  <c r="J97" i="34"/>
  <c r="AF97" i="34" s="1"/>
  <c r="I97" i="34"/>
  <c r="AE97" i="34" s="1"/>
  <c r="AD97" i="34"/>
  <c r="F98" i="34" l="1"/>
  <c r="H98" i="34" s="1"/>
  <c r="B98" i="34"/>
  <c r="G98" i="34" s="1"/>
  <c r="X98" i="34" l="1"/>
  <c r="AB98" i="34"/>
  <c r="AC98" i="34"/>
  <c r="J98" i="34"/>
  <c r="AF98" i="34" s="1"/>
  <c r="AD98" i="34"/>
  <c r="I98" i="34"/>
  <c r="AE98" i="34" s="1"/>
  <c r="F99" i="34" l="1"/>
  <c r="H99" i="34" s="1"/>
  <c r="B99" i="34"/>
  <c r="X99" i="34" s="1"/>
  <c r="G99" i="34"/>
  <c r="AB99" i="34" l="1"/>
  <c r="AC99" i="34"/>
  <c r="I99" i="34"/>
  <c r="AE99" i="34" s="1"/>
  <c r="AD99" i="34"/>
  <c r="J99" i="34"/>
  <c r="AF99" i="34" s="1"/>
  <c r="F100" i="34" l="1"/>
  <c r="H100" i="34" s="1"/>
  <c r="B100" i="34"/>
  <c r="AB100" i="34" l="1"/>
  <c r="G100" i="34"/>
  <c r="X100" i="34"/>
  <c r="AC100" i="34" l="1"/>
  <c r="J100" i="34"/>
  <c r="AF100" i="34" s="1"/>
  <c r="I100" i="34"/>
  <c r="AE100" i="34" s="1"/>
  <c r="AD100" i="34"/>
  <c r="B101" i="34" l="1"/>
  <c r="G101" i="34" s="1"/>
  <c r="AC101" i="34" s="1"/>
  <c r="F101" i="34"/>
  <c r="H101" i="34" s="1"/>
  <c r="X101" i="34" l="1"/>
  <c r="AB101" i="34"/>
  <c r="J101" i="34"/>
  <c r="AF101" i="34" s="1"/>
  <c r="I101" i="34"/>
  <c r="AE101" i="34" s="1"/>
  <c r="AD101" i="34"/>
  <c r="B102" i="34" l="1"/>
  <c r="X102" i="34" s="1"/>
  <c r="F102" i="34"/>
  <c r="H102" i="34" s="1"/>
  <c r="G102" i="34"/>
  <c r="AC102" i="34" s="1"/>
  <c r="AD102" i="34" l="1"/>
  <c r="AB102" i="34"/>
  <c r="J102" i="34"/>
  <c r="AF102" i="34" s="1"/>
  <c r="I102" i="34" l="1"/>
  <c r="AE102" i="34" s="1"/>
  <c r="F103" i="34"/>
  <c r="H103" i="34" s="1"/>
  <c r="B103" i="34"/>
  <c r="G103" i="34" s="1"/>
  <c r="AC103" i="34" s="1"/>
  <c r="AD103" i="34" l="1"/>
  <c r="AB103" i="34"/>
  <c r="X103" i="34"/>
  <c r="J103" i="34"/>
  <c r="AF103" i="34" s="1"/>
  <c r="I103" i="34" l="1"/>
  <c r="AE103" i="34" s="1"/>
  <c r="F104" i="34"/>
  <c r="H104" i="34" s="1"/>
  <c r="B104" i="34"/>
  <c r="AD104" i="34" l="1"/>
  <c r="AB104" i="34"/>
  <c r="G104" i="34"/>
  <c r="AC104" i="34" s="1"/>
  <c r="X104" i="34"/>
  <c r="I104" i="34" l="1"/>
  <c r="AE104" i="34" s="1"/>
  <c r="J104" i="34"/>
  <c r="AF104" i="34" s="1"/>
  <c r="F105" i="34" l="1"/>
  <c r="H105" i="34" s="1"/>
  <c r="B105" i="34"/>
  <c r="AD105" i="34" l="1"/>
  <c r="AB105" i="34"/>
  <c r="G105" i="34"/>
  <c r="AC105" i="34" s="1"/>
  <c r="X105" i="34"/>
  <c r="I105" i="34" l="1"/>
  <c r="AE105" i="34" s="1"/>
  <c r="J105" i="34"/>
  <c r="AF105" i="34" s="1"/>
  <c r="B106" i="34" l="1"/>
  <c r="F106" i="34"/>
  <c r="H106" i="34" s="1"/>
  <c r="AD106" i="34" l="1"/>
  <c r="AB106" i="34"/>
  <c r="G106" i="34"/>
  <c r="AC106" i="34" s="1"/>
  <c r="X106" i="34"/>
  <c r="I106" i="34" l="1"/>
  <c r="AE106" i="34" s="1"/>
  <c r="J106" i="34"/>
  <c r="AF106" i="34" s="1"/>
  <c r="B107" i="34" l="1"/>
  <c r="F107" i="34"/>
  <c r="H107" i="34" s="1"/>
  <c r="AD107" i="34" l="1"/>
  <c r="AB107" i="34"/>
  <c r="G107" i="34"/>
  <c r="AC107" i="34" s="1"/>
  <c r="X107" i="34"/>
  <c r="I107" i="34" l="1"/>
  <c r="AE107" i="34" s="1"/>
  <c r="J107" i="34"/>
  <c r="AF107" i="34" s="1"/>
  <c r="F108" i="34" l="1"/>
  <c r="H108" i="34" s="1"/>
  <c r="B108" i="34"/>
  <c r="AD108" i="34" l="1"/>
  <c r="AB108" i="34"/>
  <c r="G108" i="34"/>
  <c r="AC108" i="34" s="1"/>
  <c r="X108" i="34"/>
  <c r="I108" i="34" l="1"/>
  <c r="AE108" i="34" s="1"/>
  <c r="J108" i="34"/>
  <c r="AF108" i="34" s="1"/>
  <c r="B109" i="34" l="1"/>
  <c r="F109" i="34"/>
  <c r="H109" i="34" s="1"/>
  <c r="AB109" i="34" l="1"/>
  <c r="G109" i="34"/>
  <c r="X109" i="34"/>
  <c r="AC109" i="34" l="1"/>
  <c r="J109" i="34"/>
  <c r="AF109" i="34" s="1"/>
  <c r="I109" i="34"/>
  <c r="AE109" i="34" s="1"/>
  <c r="AD109" i="34"/>
  <c r="F110" i="34" l="1"/>
  <c r="H110" i="34" s="1"/>
  <c r="B110" i="34"/>
  <c r="X110" i="34" s="1"/>
  <c r="G110" i="34" l="1"/>
  <c r="AC110" i="34" s="1"/>
  <c r="AB110" i="34"/>
  <c r="J110" i="34"/>
  <c r="AF110" i="34" s="1"/>
  <c r="I110" i="34"/>
  <c r="AE110" i="34" s="1"/>
  <c r="AD110" i="34"/>
  <c r="F111" i="34" l="1"/>
  <c r="H111" i="34" s="1"/>
  <c r="B111" i="34"/>
  <c r="G111" i="34" s="1"/>
  <c r="X111" i="34"/>
  <c r="AB111" i="34" l="1"/>
  <c r="AC111" i="34"/>
  <c r="I111" i="34"/>
  <c r="AE111" i="34" s="1"/>
  <c r="AD111" i="34"/>
  <c r="J111" i="34"/>
  <c r="AF111" i="34" s="1"/>
  <c r="F112" i="34" l="1"/>
  <c r="H112" i="34" s="1"/>
  <c r="B112" i="34"/>
  <c r="AB112" i="34" l="1"/>
  <c r="G112" i="34"/>
  <c r="X112" i="34"/>
  <c r="AC112" i="34" l="1"/>
  <c r="I112" i="34"/>
  <c r="AE112" i="34" s="1"/>
  <c r="AD112" i="34"/>
  <c r="J112" i="34"/>
  <c r="AF112" i="34" s="1"/>
  <c r="F113" i="34" l="1"/>
  <c r="H113" i="34" s="1"/>
  <c r="B113" i="34"/>
  <c r="AB113" i="34" l="1"/>
  <c r="G113" i="34"/>
  <c r="AC113" i="34" s="1"/>
  <c r="X113" i="34"/>
  <c r="J113" i="34" l="1"/>
  <c r="AF113" i="34" s="1"/>
  <c r="AD113" i="34"/>
  <c r="I113" i="34"/>
  <c r="AE113" i="34" s="1"/>
  <c r="B114" i="34" l="1"/>
  <c r="X114" i="34" s="1"/>
  <c r="F114" i="34"/>
  <c r="H114" i="34" s="1"/>
  <c r="G114" i="34"/>
  <c r="AC114" i="34" s="1"/>
  <c r="AD114" i="34" l="1"/>
  <c r="AB114" i="34"/>
  <c r="J114" i="34"/>
  <c r="AF114" i="34" s="1"/>
  <c r="I114" i="34" l="1"/>
  <c r="AE114" i="34" s="1"/>
  <c r="B115" i="34"/>
  <c r="F115" i="34"/>
  <c r="H115" i="34" s="1"/>
  <c r="AD115" i="34" l="1"/>
  <c r="AB115" i="34"/>
  <c r="G115" i="34"/>
  <c r="AC115" i="34" s="1"/>
  <c r="X115" i="34"/>
  <c r="I115" i="34" l="1"/>
  <c r="AE115" i="34" s="1"/>
  <c r="J115" i="34"/>
  <c r="AF115" i="34" s="1"/>
  <c r="F116" i="34" l="1"/>
  <c r="H116" i="34" s="1"/>
  <c r="B116" i="34"/>
  <c r="AD116" i="34" l="1"/>
  <c r="AB116" i="34"/>
  <c r="G116" i="34"/>
  <c r="AC116" i="34" s="1"/>
  <c r="X116" i="34"/>
  <c r="J116" i="34" l="1"/>
  <c r="AF116" i="34" s="1"/>
  <c r="I116" i="34"/>
  <c r="AE116" i="34" s="1"/>
  <c r="B117" i="34" l="1"/>
  <c r="G117" i="34" s="1"/>
  <c r="AC117" i="34" s="1"/>
  <c r="F117" i="34"/>
  <c r="H117" i="34" s="1"/>
  <c r="AB117" i="34" l="1"/>
  <c r="AD117" i="34"/>
  <c r="X117" i="34"/>
  <c r="J117" i="34"/>
  <c r="AF117" i="34" s="1"/>
  <c r="I117" i="34" l="1"/>
  <c r="AE117" i="34" s="1"/>
  <c r="B118" i="34"/>
  <c r="F118" i="34"/>
  <c r="H118" i="34" s="1"/>
  <c r="AD118" i="34" l="1"/>
  <c r="AB118" i="34"/>
  <c r="G118" i="34"/>
  <c r="AC118" i="34" s="1"/>
  <c r="X118" i="34"/>
  <c r="I118" i="34" l="1"/>
  <c r="AE118" i="34" s="1"/>
  <c r="J118" i="34"/>
  <c r="AF118" i="34" s="1"/>
  <c r="F119" i="34" l="1"/>
  <c r="H119" i="34" s="1"/>
  <c r="B119" i="34"/>
  <c r="AD119" i="34" l="1"/>
  <c r="AB119" i="34"/>
  <c r="G119" i="34"/>
  <c r="AC119" i="34" s="1"/>
  <c r="X119" i="34"/>
  <c r="I119" i="34" l="1"/>
  <c r="AE119" i="34" s="1"/>
  <c r="J119" i="34"/>
  <c r="AF119" i="34" s="1"/>
  <c r="F120" i="34" l="1"/>
  <c r="H120" i="34" s="1"/>
  <c r="B120" i="34"/>
  <c r="AD120" i="34" l="1"/>
  <c r="AB120" i="34"/>
  <c r="G120" i="34"/>
  <c r="AC120" i="34" s="1"/>
  <c r="X120" i="34"/>
  <c r="I120" i="34" l="1"/>
  <c r="AE120" i="34" s="1"/>
  <c r="J120" i="34"/>
  <c r="AF120" i="34" s="1"/>
  <c r="F121" i="34" l="1"/>
  <c r="H121" i="34" s="1"/>
  <c r="B121" i="34"/>
  <c r="AB121" i="34" l="1"/>
  <c r="G121" i="34"/>
  <c r="X121" i="34"/>
  <c r="I121" i="34" l="1"/>
  <c r="AE121" i="34" s="1"/>
  <c r="AC121" i="34"/>
  <c r="AD121" i="34"/>
  <c r="J121" i="34"/>
  <c r="AF121" i="34" s="1"/>
  <c r="B122" i="34" l="1"/>
  <c r="F122" i="34"/>
  <c r="H122" i="34" s="1"/>
  <c r="AB122" i="34" l="1"/>
  <c r="G122" i="34"/>
  <c r="X122" i="34"/>
  <c r="S4" i="34"/>
  <c r="AC122" i="34" l="1"/>
  <c r="I122" i="34"/>
  <c r="AE122" i="34" s="1"/>
  <c r="AD122" i="34"/>
  <c r="J122" i="34"/>
  <c r="AF122" i="34" s="1"/>
  <c r="F123" i="34" l="1"/>
  <c r="H123" i="34" s="1"/>
  <c r="B123" i="34"/>
  <c r="T4" i="34"/>
  <c r="R4" i="34"/>
  <c r="AB123" i="34" l="1"/>
  <c r="G123" i="34"/>
  <c r="X123" i="34"/>
  <c r="AC123" i="34" l="1"/>
  <c r="I123" i="34"/>
  <c r="AE123" i="34" s="1"/>
  <c r="AD123" i="34"/>
  <c r="J123" i="34"/>
  <c r="AF123" i="34" s="1"/>
  <c r="F124" i="34" l="1"/>
  <c r="H124" i="34" s="1"/>
  <c r="B124" i="34"/>
  <c r="AB124" i="34" l="1"/>
  <c r="G124" i="34"/>
  <c r="AC124" i="34" s="1"/>
  <c r="X124" i="34"/>
  <c r="I124" i="34" l="1"/>
  <c r="AE124" i="34" s="1"/>
  <c r="AD124" i="34"/>
  <c r="J124" i="34"/>
  <c r="AF124" i="34" s="1"/>
  <c r="B125" i="34" l="1"/>
  <c r="F125" i="34"/>
  <c r="H125" i="34" s="1"/>
  <c r="AB125" i="34" l="1"/>
  <c r="G125" i="34"/>
  <c r="AC125" i="34" s="1"/>
  <c r="X125" i="34"/>
  <c r="I125" i="34" l="1"/>
  <c r="AE125" i="34" s="1"/>
  <c r="AD125" i="34"/>
  <c r="J125" i="34"/>
  <c r="AF125" i="34" s="1"/>
  <c r="B126" i="34" l="1"/>
  <c r="F126" i="34"/>
  <c r="H126" i="34" s="1"/>
  <c r="AD126" i="34" l="1"/>
  <c r="AB126" i="34"/>
  <c r="G126" i="34"/>
  <c r="AC126" i="34" s="1"/>
  <c r="X126" i="34"/>
  <c r="I126" i="34" l="1"/>
  <c r="AE126" i="34" s="1"/>
  <c r="J126" i="34"/>
  <c r="AF126" i="34" s="1"/>
  <c r="F127" i="34" l="1"/>
  <c r="H127" i="34" s="1"/>
  <c r="B127" i="34"/>
  <c r="AD127" i="34" l="1"/>
  <c r="AB127" i="34"/>
  <c r="G127" i="34"/>
  <c r="AC127" i="34" s="1"/>
  <c r="X127" i="34"/>
  <c r="I127" i="34" l="1"/>
  <c r="AE127" i="34" s="1"/>
  <c r="J127" i="34"/>
  <c r="AF127" i="34" s="1"/>
  <c r="F128" i="34" l="1"/>
  <c r="H128" i="34" s="1"/>
  <c r="B128" i="34"/>
  <c r="AD128" i="34" l="1"/>
  <c r="AB128" i="34"/>
  <c r="G128" i="34"/>
  <c r="AC128" i="34" s="1"/>
  <c r="X128" i="34"/>
  <c r="J128" i="34" l="1"/>
  <c r="AF128" i="34" s="1"/>
  <c r="I128" i="34"/>
  <c r="AE128" i="34" s="1"/>
  <c r="F129" i="34" l="1"/>
  <c r="H129" i="34" s="1"/>
  <c r="B129" i="34"/>
  <c r="G129" i="34"/>
  <c r="AC129" i="34" s="1"/>
  <c r="X129" i="34"/>
  <c r="AD129" i="34" l="1"/>
  <c r="AB129" i="34"/>
  <c r="J129" i="34"/>
  <c r="AF129" i="34" s="1"/>
  <c r="I129" i="34" l="1"/>
  <c r="AE129" i="34" s="1"/>
  <c r="B130" i="34"/>
  <c r="X130" i="34" s="1"/>
  <c r="F130" i="34"/>
  <c r="H130" i="34" s="1"/>
  <c r="G130" i="34"/>
  <c r="AC130" i="34" s="1"/>
  <c r="AD130" i="34" l="1"/>
  <c r="AB130" i="34"/>
  <c r="J130" i="34"/>
  <c r="AF130" i="34" s="1"/>
  <c r="I130" i="34" l="1"/>
  <c r="AE130" i="34" s="1"/>
  <c r="B131" i="34"/>
  <c r="F131" i="34"/>
  <c r="H131" i="34" s="1"/>
  <c r="AD131" i="34" l="1"/>
  <c r="AB131" i="34"/>
  <c r="G131" i="34"/>
  <c r="AC131" i="34" s="1"/>
  <c r="X131" i="34"/>
  <c r="I131" i="34" l="1"/>
  <c r="AE131" i="34" s="1"/>
  <c r="J131" i="34"/>
  <c r="AF131" i="34" s="1"/>
  <c r="F132" i="34" l="1"/>
  <c r="H132" i="34" s="1"/>
  <c r="B132" i="34"/>
  <c r="AB132" i="34" l="1"/>
  <c r="T46" i="35"/>
  <c r="G132" i="34"/>
  <c r="X132" i="34"/>
  <c r="K102" i="29" l="1"/>
  <c r="L102" i="29"/>
  <c r="M102" i="29"/>
  <c r="N102" i="29"/>
  <c r="O102" i="29"/>
  <c r="P102" i="29"/>
  <c r="Q102" i="29"/>
  <c r="R102" i="29"/>
  <c r="S102" i="29"/>
  <c r="T102" i="29"/>
  <c r="T19" i="35" s="1"/>
  <c r="J132" i="34"/>
  <c r="AF132" i="34" s="1"/>
  <c r="AC132" i="34"/>
  <c r="AC4" i="34" s="1"/>
  <c r="K103" i="29"/>
  <c r="H4" i="34"/>
  <c r="AD132" i="34"/>
  <c r="AD4" i="34" s="1"/>
  <c r="L101" i="29"/>
  <c r="M101" i="29"/>
  <c r="N101" i="29"/>
  <c r="O101" i="29"/>
  <c r="P101" i="29"/>
  <c r="Q101" i="29"/>
  <c r="R101" i="29"/>
  <c r="S101" i="29"/>
  <c r="T101" i="29"/>
  <c r="I132" i="34"/>
  <c r="G4" i="34"/>
  <c r="S46" i="35" l="1"/>
  <c r="S47" i="35"/>
  <c r="Q21" i="35"/>
  <c r="Q26" i="23" s="1"/>
  <c r="Q105" i="23"/>
  <c r="P21" i="35"/>
  <c r="P26" i="23" s="1"/>
  <c r="P105" i="23"/>
  <c r="O21" i="35"/>
  <c r="O26" i="23" s="1"/>
  <c r="O105" i="23"/>
  <c r="M21" i="35"/>
  <c r="M26" i="23" s="1"/>
  <c r="M105" i="23"/>
  <c r="T21" i="35"/>
  <c r="T26" i="23" s="1"/>
  <c r="T105" i="23"/>
  <c r="L21" i="35"/>
  <c r="L26" i="23" s="1"/>
  <c r="L105" i="23"/>
  <c r="S21" i="35"/>
  <c r="S26" i="23" s="1"/>
  <c r="S105" i="23"/>
  <c r="R21" i="35"/>
  <c r="R26" i="23" s="1"/>
  <c r="R105" i="23"/>
  <c r="N21" i="35"/>
  <c r="N26" i="23" s="1"/>
  <c r="N105" i="23"/>
  <c r="K19" i="35"/>
  <c r="R19" i="35"/>
  <c r="N19" i="35"/>
  <c r="M47" i="35" s="1"/>
  <c r="Q19" i="35"/>
  <c r="P47" i="35" s="1"/>
  <c r="M19" i="35"/>
  <c r="L47" i="35" s="1"/>
  <c r="P19" i="35"/>
  <c r="O47" i="35" s="1"/>
  <c r="L19" i="35"/>
  <c r="K47" i="35" s="1"/>
  <c r="L30" i="35"/>
  <c r="S19" i="35"/>
  <c r="R47" i="35" s="1"/>
  <c r="O19" i="35"/>
  <c r="N47" i="35" s="1"/>
  <c r="I4" i="34"/>
  <c r="AE132" i="34"/>
  <c r="AE4" i="34" s="1"/>
  <c r="P103" i="29"/>
  <c r="L103" i="29"/>
  <c r="M103" i="29"/>
  <c r="T103" i="29"/>
  <c r="O103" i="29"/>
  <c r="Q103" i="29"/>
  <c r="R103" i="29"/>
  <c r="N103" i="29"/>
  <c r="S103" i="29"/>
  <c r="Q46" i="35" l="1"/>
  <c r="Q47" i="35"/>
  <c r="J46" i="35"/>
  <c r="J44" i="35" s="1"/>
  <c r="J47" i="35"/>
  <c r="K39" i="35"/>
  <c r="K103" i="23" s="1"/>
  <c r="K20" i="35"/>
  <c r="O39" i="35"/>
  <c r="O103" i="23" s="1"/>
  <c r="N46" i="35"/>
  <c r="P39" i="35"/>
  <c r="O46" i="35"/>
  <c r="Q39" i="35"/>
  <c r="Q103" i="23" s="1"/>
  <c r="P46" i="35"/>
  <c r="S39" i="35"/>
  <c r="S103" i="23" s="1"/>
  <c r="R46" i="35"/>
  <c r="L39" i="35"/>
  <c r="L103" i="23" s="1"/>
  <c r="K46" i="35"/>
  <c r="M39" i="35"/>
  <c r="M103" i="23" s="1"/>
  <c r="L46" i="35"/>
  <c r="N39" i="35"/>
  <c r="N103" i="23" s="1"/>
  <c r="M46" i="35"/>
  <c r="J80" i="23"/>
  <c r="J91" i="23" s="1"/>
  <c r="J107" i="23" s="1"/>
  <c r="J110" i="23" s="1"/>
  <c r="M30" i="35"/>
  <c r="R39" i="35"/>
  <c r="R103" i="23" s="1"/>
  <c r="T39" i="35"/>
  <c r="T103" i="23" s="1"/>
  <c r="K102" i="23" l="1"/>
  <c r="J45" i="35"/>
  <c r="J64" i="23"/>
  <c r="J72" i="23" s="1"/>
  <c r="L17" i="35"/>
  <c r="K45" i="35"/>
  <c r="K43" i="35"/>
  <c r="L20" i="35"/>
  <c r="N102" i="23"/>
  <c r="L102" i="23"/>
  <c r="Q102" i="23"/>
  <c r="O102" i="23"/>
  <c r="M102" i="23"/>
  <c r="S102" i="23"/>
  <c r="P103" i="23"/>
  <c r="P102" i="23"/>
  <c r="J49" i="23"/>
  <c r="J46" i="23" s="1"/>
  <c r="J52" i="23" s="1"/>
  <c r="J50" i="23"/>
  <c r="K109" i="23"/>
  <c r="R102" i="23"/>
  <c r="N30" i="35"/>
  <c r="K41" i="35"/>
  <c r="T102" i="23"/>
  <c r="K44" i="35" l="1"/>
  <c r="M17" i="35"/>
  <c r="L45" i="35"/>
  <c r="M20" i="35"/>
  <c r="K64" i="23"/>
  <c r="L43" i="35"/>
  <c r="L44" i="35" s="1"/>
  <c r="J73" i="23"/>
  <c r="J74" i="23" s="1"/>
  <c r="L41" i="35"/>
  <c r="O30" i="35"/>
  <c r="M43" i="35"/>
  <c r="N20" i="35"/>
  <c r="K104" i="23"/>
  <c r="K25" i="23"/>
  <c r="K90" i="23" s="1"/>
  <c r="M44" i="35" l="1"/>
  <c r="N17" i="35"/>
  <c r="M45" i="35"/>
  <c r="O17" i="35"/>
  <c r="N45" i="35"/>
  <c r="L64" i="23"/>
  <c r="M64" i="23"/>
  <c r="K7" i="23"/>
  <c r="K5" i="23" s="1"/>
  <c r="K19" i="23" s="1"/>
  <c r="K23" i="23" s="1"/>
  <c r="K27" i="23" s="1"/>
  <c r="K29" i="23" s="1"/>
  <c r="K30" i="23" s="1"/>
  <c r="K32" i="23" s="1"/>
  <c r="K101" i="23"/>
  <c r="O20" i="35"/>
  <c r="N43" i="35"/>
  <c r="P30" i="35"/>
  <c r="M41" i="35"/>
  <c r="L104" i="23"/>
  <c r="L25" i="23"/>
  <c r="L90" i="23" s="1"/>
  <c r="N44" i="35" l="1"/>
  <c r="P17" i="35"/>
  <c r="O45" i="35"/>
  <c r="N64" i="23"/>
  <c r="K106" i="23"/>
  <c r="K80" i="23"/>
  <c r="K79" i="23"/>
  <c r="K62" i="23"/>
  <c r="L61" i="23" s="1"/>
  <c r="L7" i="23"/>
  <c r="L5" i="23" s="1"/>
  <c r="L19" i="23" s="1"/>
  <c r="L23" i="23" s="1"/>
  <c r="L27" i="23" s="1"/>
  <c r="L29" i="23" s="1"/>
  <c r="L30" i="23" s="1"/>
  <c r="L32" i="23" s="1"/>
  <c r="Q30" i="35"/>
  <c r="M104" i="23"/>
  <c r="M25" i="23"/>
  <c r="M90" i="23" s="1"/>
  <c r="N41" i="35"/>
  <c r="L101" i="23"/>
  <c r="O43" i="35"/>
  <c r="P20" i="35"/>
  <c r="O44" i="35" l="1"/>
  <c r="Q17" i="35"/>
  <c r="P45" i="35"/>
  <c r="O64" i="23"/>
  <c r="L106" i="23"/>
  <c r="L80" i="23"/>
  <c r="K91" i="23"/>
  <c r="K107" i="23" s="1"/>
  <c r="K110" i="23" s="1"/>
  <c r="K49" i="23" s="1"/>
  <c r="K46" i="23" s="1"/>
  <c r="K52" i="23" s="1"/>
  <c r="K54" i="23"/>
  <c r="K72" i="23" s="1"/>
  <c r="L62" i="23"/>
  <c r="L54" i="23" s="1"/>
  <c r="L72" i="23" s="1"/>
  <c r="L79" i="23"/>
  <c r="M7" i="23"/>
  <c r="M5" i="23" s="1"/>
  <c r="M19" i="23" s="1"/>
  <c r="M23" i="23" s="1"/>
  <c r="M27" i="23" s="1"/>
  <c r="M29" i="23" s="1"/>
  <c r="M30" i="23" s="1"/>
  <c r="M32" i="23" s="1"/>
  <c r="Q20" i="35"/>
  <c r="P43" i="35"/>
  <c r="N104" i="23"/>
  <c r="N25" i="23"/>
  <c r="N90" i="23" s="1"/>
  <c r="M101" i="23"/>
  <c r="O41" i="35"/>
  <c r="R30" i="35"/>
  <c r="P64" i="23" l="1"/>
  <c r="P44" i="35"/>
  <c r="R17" i="35"/>
  <c r="Q45" i="35"/>
  <c r="L91" i="23"/>
  <c r="L107" i="23" s="1"/>
  <c r="K50" i="23"/>
  <c r="L109" i="23"/>
  <c r="M106" i="23"/>
  <c r="M80" i="23"/>
  <c r="K73" i="23"/>
  <c r="K74" i="23" s="1"/>
  <c r="M61" i="23"/>
  <c r="M79" i="23"/>
  <c r="M62" i="23"/>
  <c r="N7" i="23"/>
  <c r="N5" i="23" s="1"/>
  <c r="N19" i="23" s="1"/>
  <c r="N23" i="23" s="1"/>
  <c r="N27" i="23" s="1"/>
  <c r="N29" i="23" s="1"/>
  <c r="N30" i="23" s="1"/>
  <c r="N32" i="23" s="1"/>
  <c r="S30" i="35"/>
  <c r="R20" i="35"/>
  <c r="Q43" i="35"/>
  <c r="P41" i="35"/>
  <c r="O25" i="23"/>
  <c r="O90" i="23" s="1"/>
  <c r="O104" i="23"/>
  <c r="N101" i="23"/>
  <c r="Q64" i="23" l="1"/>
  <c r="Q44" i="35"/>
  <c r="S17" i="35"/>
  <c r="R45" i="35"/>
  <c r="L110" i="23"/>
  <c r="L49" i="23" s="1"/>
  <c r="L46" i="23" s="1"/>
  <c r="L52" i="23" s="1"/>
  <c r="L73" i="23" s="1"/>
  <c r="L74" i="23" s="1"/>
  <c r="M54" i="23"/>
  <c r="M72" i="23" s="1"/>
  <c r="M91" i="23"/>
  <c r="M107" i="23" s="1"/>
  <c r="N106" i="23"/>
  <c r="N80" i="23"/>
  <c r="N61" i="23"/>
  <c r="N79" i="23"/>
  <c r="N62" i="23"/>
  <c r="O7" i="23"/>
  <c r="O5" i="23" s="1"/>
  <c r="O19" i="23" s="1"/>
  <c r="O23" i="23" s="1"/>
  <c r="O27" i="23" s="1"/>
  <c r="O29" i="23" s="1"/>
  <c r="O30" i="23" s="1"/>
  <c r="O32" i="23" s="1"/>
  <c r="O101" i="23"/>
  <c r="Q41" i="35"/>
  <c r="P25" i="23"/>
  <c r="P90" i="23" s="1"/>
  <c r="P104" i="23"/>
  <c r="S20" i="35"/>
  <c r="R43" i="35"/>
  <c r="T30" i="35"/>
  <c r="U30" i="35" s="1"/>
  <c r="R44" i="35" l="1"/>
  <c r="T17" i="35"/>
  <c r="S45" i="35"/>
  <c r="L50" i="23"/>
  <c r="M109" i="23"/>
  <c r="M110" i="23" s="1"/>
  <c r="N109" i="23" s="1"/>
  <c r="N91" i="23"/>
  <c r="N107" i="23" s="1"/>
  <c r="R64" i="23"/>
  <c r="O106" i="23"/>
  <c r="O80" i="23"/>
  <c r="N54" i="23"/>
  <c r="N72" i="23" s="1"/>
  <c r="O61" i="23"/>
  <c r="O62" i="23"/>
  <c r="O79" i="23"/>
  <c r="P7" i="23"/>
  <c r="P5" i="23" s="1"/>
  <c r="P19" i="23" s="1"/>
  <c r="P23" i="23" s="1"/>
  <c r="P27" i="23" s="1"/>
  <c r="P29" i="23" s="1"/>
  <c r="P30" i="23" s="1"/>
  <c r="P32" i="23" s="1"/>
  <c r="R41" i="35"/>
  <c r="Q25" i="23"/>
  <c r="Q90" i="23" s="1"/>
  <c r="Q104" i="23"/>
  <c r="P101" i="23"/>
  <c r="T20" i="35"/>
  <c r="T45" i="35" s="1"/>
  <c r="S43" i="35"/>
  <c r="S44" i="35" l="1"/>
  <c r="U17" i="35"/>
  <c r="U20" i="35"/>
  <c r="U45" i="35" s="1"/>
  <c r="M50" i="23"/>
  <c r="M49" i="23"/>
  <c r="M46" i="23" s="1"/>
  <c r="M52" i="23" s="1"/>
  <c r="M73" i="23" s="1"/>
  <c r="M74" i="23" s="1"/>
  <c r="O91" i="23"/>
  <c r="O107" i="23" s="1"/>
  <c r="N110" i="23"/>
  <c r="O109" i="23" s="1"/>
  <c r="S64" i="23"/>
  <c r="P106" i="23"/>
  <c r="P80" i="23"/>
  <c r="P61" i="23"/>
  <c r="O54" i="23"/>
  <c r="O72" i="23" s="1"/>
  <c r="P79" i="23"/>
  <c r="P62" i="23"/>
  <c r="Q7" i="23"/>
  <c r="Q5" i="23" s="1"/>
  <c r="Q19" i="23" s="1"/>
  <c r="Q23" i="23" s="1"/>
  <c r="Q27" i="23" s="1"/>
  <c r="Q29" i="23" s="1"/>
  <c r="Q30" i="23" s="1"/>
  <c r="Q32" i="23" s="1"/>
  <c r="T43" i="35"/>
  <c r="R104" i="23"/>
  <c r="R25" i="23"/>
  <c r="R90" i="23" s="1"/>
  <c r="Q101" i="23"/>
  <c r="S41" i="35"/>
  <c r="T44" i="35" l="1"/>
  <c r="U43" i="35"/>
  <c r="U44" i="35" s="1"/>
  <c r="O110" i="23"/>
  <c r="P109" i="23" s="1"/>
  <c r="N50" i="23"/>
  <c r="N49" i="23"/>
  <c r="N46" i="23" s="1"/>
  <c r="N52" i="23" s="1"/>
  <c r="N73" i="23" s="1"/>
  <c r="N74" i="23" s="1"/>
  <c r="Q106" i="23"/>
  <c r="Q80" i="23"/>
  <c r="P91" i="23"/>
  <c r="P107" i="23" s="1"/>
  <c r="T64" i="23"/>
  <c r="P54" i="23"/>
  <c r="P72" i="23" s="1"/>
  <c r="Q61" i="23"/>
  <c r="Q79" i="23"/>
  <c r="Q62" i="23"/>
  <c r="R7" i="23"/>
  <c r="R5" i="23" s="1"/>
  <c r="R19" i="23" s="1"/>
  <c r="R23" i="23" s="1"/>
  <c r="R27" i="23" s="1"/>
  <c r="R29" i="23" s="1"/>
  <c r="R30" i="23" s="1"/>
  <c r="R32" i="23" s="1"/>
  <c r="S104" i="23"/>
  <c r="S25" i="23"/>
  <c r="S90" i="23" s="1"/>
  <c r="R101" i="23"/>
  <c r="T41" i="35"/>
  <c r="O50" i="23" l="1"/>
  <c r="O49" i="23"/>
  <c r="O46" i="23" s="1"/>
  <c r="O52" i="23" s="1"/>
  <c r="O73" i="23" s="1"/>
  <c r="O74" i="23" s="1"/>
  <c r="Q91" i="23"/>
  <c r="Q107" i="23" s="1"/>
  <c r="P110" i="23"/>
  <c r="P49" i="23" s="1"/>
  <c r="P46" i="23" s="1"/>
  <c r="P52" i="23" s="1"/>
  <c r="P73" i="23" s="1"/>
  <c r="R106" i="23"/>
  <c r="R80" i="23"/>
  <c r="R61" i="23"/>
  <c r="R79" i="23"/>
  <c r="R62" i="23"/>
  <c r="S7" i="23"/>
  <c r="S5" i="23" s="1"/>
  <c r="S19" i="23" s="1"/>
  <c r="S23" i="23" s="1"/>
  <c r="S27" i="23" s="1"/>
  <c r="S29" i="23" s="1"/>
  <c r="S30" i="23" s="1"/>
  <c r="S32" i="23" s="1"/>
  <c r="Q54" i="23"/>
  <c r="Q72" i="23" s="1"/>
  <c r="T104" i="23"/>
  <c r="T25" i="23"/>
  <c r="T90" i="23" s="1"/>
  <c r="S101" i="23"/>
  <c r="P50" i="23" l="1"/>
  <c r="P74" i="23"/>
  <c r="Q109" i="23"/>
  <c r="Q110" i="23" s="1"/>
  <c r="Q50" i="23" s="1"/>
  <c r="R91" i="23"/>
  <c r="R107" i="23" s="1"/>
  <c r="S106" i="23"/>
  <c r="S80" i="23"/>
  <c r="S79" i="23"/>
  <c r="S62" i="23"/>
  <c r="S61" i="23"/>
  <c r="R54" i="23"/>
  <c r="R72" i="23" s="1"/>
  <c r="T7" i="23"/>
  <c r="T5" i="23" s="1"/>
  <c r="T19" i="23" s="1"/>
  <c r="T23" i="23" s="1"/>
  <c r="T27" i="23" s="1"/>
  <c r="T29" i="23" s="1"/>
  <c r="T30" i="23" s="1"/>
  <c r="T32" i="23" s="1"/>
  <c r="T101" i="23"/>
  <c r="R109" i="23" l="1"/>
  <c r="R110" i="23" s="1"/>
  <c r="S109" i="23" s="1"/>
  <c r="Q49" i="23"/>
  <c r="Q46" i="23" s="1"/>
  <c r="Q52" i="23" s="1"/>
  <c r="Q73" i="23" s="1"/>
  <c r="Q74" i="23" s="1"/>
  <c r="S91" i="23"/>
  <c r="S107" i="23" s="1"/>
  <c r="T106" i="23"/>
  <c r="T80" i="23"/>
  <c r="S54" i="23"/>
  <c r="S72" i="23" s="1"/>
  <c r="T62" i="23"/>
  <c r="T79" i="23"/>
  <c r="T61" i="23"/>
  <c r="R50" i="23" l="1"/>
  <c r="R49" i="23"/>
  <c r="R46" i="23" s="1"/>
  <c r="R52" i="23" s="1"/>
  <c r="R73" i="23" s="1"/>
  <c r="R74" i="23" s="1"/>
  <c r="S110" i="23"/>
  <c r="T109" i="23" s="1"/>
  <c r="T91" i="23"/>
  <c r="T107" i="23" s="1"/>
  <c r="T54" i="23"/>
  <c r="T72" i="23" s="1"/>
  <c r="S50" i="23" l="1"/>
  <c r="S49" i="23"/>
  <c r="S46" i="23" s="1"/>
  <c r="S52" i="23" s="1"/>
  <c r="S73" i="23" s="1"/>
  <c r="S74" i="23" s="1"/>
  <c r="T110" i="23"/>
  <c r="T50" i="23" s="1"/>
  <c r="T49" i="23" l="1"/>
  <c r="T46" i="23" s="1"/>
  <c r="T52" i="23" s="1"/>
  <c r="T73" i="23" s="1"/>
  <c r="T74" i="23" s="1"/>
</calcChain>
</file>

<file path=xl/sharedStrings.xml><?xml version="1.0" encoding="utf-8"?>
<sst xmlns="http://schemas.openxmlformats.org/spreadsheetml/2006/main" count="1281" uniqueCount="333">
  <si>
    <t>Lp.</t>
  </si>
  <si>
    <t>I</t>
  </si>
  <si>
    <t>Razem</t>
  </si>
  <si>
    <t>%</t>
  </si>
  <si>
    <t>Wyszczególnienie</t>
  </si>
  <si>
    <t>1.</t>
  </si>
  <si>
    <t>1.1</t>
  </si>
  <si>
    <t>2.</t>
  </si>
  <si>
    <t>3.</t>
  </si>
  <si>
    <t>4.</t>
  </si>
  <si>
    <t/>
  </si>
  <si>
    <t>RAZEM</t>
  </si>
  <si>
    <t>1</t>
  </si>
  <si>
    <t>Jedn.</t>
  </si>
  <si>
    <t>A.</t>
  </si>
  <si>
    <t>Koszty inwestycyjne</t>
  </si>
  <si>
    <t>zł</t>
  </si>
  <si>
    <t>Wartości niematerialne i prawne</t>
  </si>
  <si>
    <t>Grunty</t>
  </si>
  <si>
    <t>Budynki, lokale, obiekty inżynierii lądowej i wodnej</t>
  </si>
  <si>
    <t>Urządzenia techniczne i maszyny</t>
  </si>
  <si>
    <t>5.</t>
  </si>
  <si>
    <t>Środki transportu</t>
  </si>
  <si>
    <t>6.</t>
  </si>
  <si>
    <t>Inne środki trwałe</t>
  </si>
  <si>
    <t>Rachunek zysków i strat</t>
  </si>
  <si>
    <t>2</t>
  </si>
  <si>
    <t>3</t>
  </si>
  <si>
    <t>4</t>
  </si>
  <si>
    <t>A</t>
  </si>
  <si>
    <t>Przychody netto ze sprzedaży i zrównane z nimi, w tym:</t>
  </si>
  <si>
    <t>B</t>
  </si>
  <si>
    <t>Koszty działalności operacyjnej, w tym:</t>
  </si>
  <si>
    <t>I.</t>
  </si>
  <si>
    <t>Amortyzacja</t>
  </si>
  <si>
    <t>II.</t>
  </si>
  <si>
    <t>Zużycie materiałów i energii</t>
  </si>
  <si>
    <t>III.</t>
  </si>
  <si>
    <t>Usługi obce</t>
  </si>
  <si>
    <t>IV.</t>
  </si>
  <si>
    <t>Podatki i opłaty</t>
  </si>
  <si>
    <t>V.</t>
  </si>
  <si>
    <t>Wynagrodzenia</t>
  </si>
  <si>
    <t>VI.</t>
  </si>
  <si>
    <t>Ubezpieczenia społeczne i inne świadczenia</t>
  </si>
  <si>
    <t>VII</t>
  </si>
  <si>
    <t>Pozostałe koszty rodzajowe</t>
  </si>
  <si>
    <t>VIII.</t>
  </si>
  <si>
    <t>Wartość sprzedanych towarów i materiałów</t>
  </si>
  <si>
    <t>C</t>
  </si>
  <si>
    <t>Zysk/strata ze sprzedaży (A-B)</t>
  </si>
  <si>
    <t>D</t>
  </si>
  <si>
    <t>Pozostałe przychody operacyjne, w tym:</t>
  </si>
  <si>
    <t>E</t>
  </si>
  <si>
    <t>Pozostałe koszty operacyjne</t>
  </si>
  <si>
    <t>F</t>
  </si>
  <si>
    <t>Zysk/strata z działalności operacyjnej (C+D-E)</t>
  </si>
  <si>
    <t>G</t>
  </si>
  <si>
    <t>Przychody finansowe</t>
  </si>
  <si>
    <t>H</t>
  </si>
  <si>
    <t>Koszty finansowe, w tym:</t>
  </si>
  <si>
    <t>Zysk/strata z działalności gospodarczej (F+G-H)</t>
  </si>
  <si>
    <t>J</t>
  </si>
  <si>
    <t>Wynik zdarzeń nadzwyczajnych</t>
  </si>
  <si>
    <t>K</t>
  </si>
  <si>
    <t>Zysk/strata brutto (I+/-J)</t>
  </si>
  <si>
    <t>L</t>
  </si>
  <si>
    <t>Podatek dochodowy</t>
  </si>
  <si>
    <t>M</t>
  </si>
  <si>
    <t>Pozostałe obowiązkowe zmniejszenie zysku/zwiększenie straty</t>
  </si>
  <si>
    <t>N</t>
  </si>
  <si>
    <t>Zysk/strata netto (K-L-M)</t>
  </si>
  <si>
    <t>Bilans</t>
  </si>
  <si>
    <t>AKTYWA</t>
  </si>
  <si>
    <t>Aktywa trwałe</t>
  </si>
  <si>
    <t>Rzeczowe aktywa trwałe, w tym:</t>
  </si>
  <si>
    <t>- z tytułu wnioskowanego przedsięwzięcia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</si>
  <si>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</si>
  <si>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</si>
  <si>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</si>
  <si>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</si>
  <si>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</si>
  <si>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</si>
  <si>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Inwestycje krótkoterminowe, w tym:</t>
  </si>
  <si>
    <t>- środki pieniężne i inne aktywa pieniężne</t>
  </si>
  <si>
    <t>Krótkoterminowe rozliczenia międzyokresowe</t>
  </si>
  <si>
    <t>Aktywa razem (A+B)</t>
  </si>
  <si>
    <t>PASYWA</t>
  </si>
  <si>
    <t>Kapitał (fundusz) własny</t>
  </si>
  <si>
    <t>Kapitał (fundusz) podstawowy</t>
  </si>
  <si>
    <t>Należne, lecz nie wniesione wkłady na poczet kapitału (-)</t>
  </si>
  <si>
    <t>Udziały (akcje) własne (-)</t>
  </si>
  <si>
    <t>Kapitał (fundusz) zapasowy</t>
  </si>
  <si>
    <t>Kapitał (fundusz) rezerwowy z aktualizacji wyceny</t>
  </si>
  <si>
    <t>Pozostałe kapitały (fundusze) rezerwowe</t>
  </si>
  <si>
    <t>VII.</t>
  </si>
  <si>
    <t>Zysk (strata) z lat ubiegłych</t>
  </si>
  <si>
    <t>Zysk (strata) netto</t>
  </si>
  <si>
    <t>IX.</t>
  </si>
  <si>
    <t>Odpisy z zysku netto w ciągu roku obrotowego (-)</t>
  </si>
  <si>
    <t>Zobowiązania i rezerwy na zobowiązania</t>
  </si>
  <si>
    <t>Rezerwy na zobowiązania</t>
  </si>
  <si>
    <t>Zobowiązania długoterminowe, w tym:</t>
  </si>
  <si>
    <t>Zobowiązania krótkoterminowe, w tym:</t>
  </si>
  <si>
    <t>Rozliczenia międzyokresowe, w tym:</t>
  </si>
  <si>
    <t>Suma Pasywów (A+B)</t>
  </si>
  <si>
    <t>Rachunek przepływów pieniężnych</t>
  </si>
  <si>
    <t>Przepływy środków pieniężnych z działalności operacyjnej</t>
  </si>
  <si>
    <t>Zysk ( strata ) netto</t>
  </si>
  <si>
    <t>Korekty</t>
  </si>
  <si>
    <t>Zysk/strata z tytułu różnic kursowych</t>
  </si>
  <si>
    <t>Odsetki i udziały w zyskach (dywidendy)</t>
  </si>
  <si>
    <t>Zysk/strata z działalności inwestycyjnej</t>
  </si>
  <si>
    <t>Zmiana stanu rezerw</t>
  </si>
  <si>
    <t>Zmiana stanu zapasów</t>
  </si>
  <si>
    <t>7.</t>
  </si>
  <si>
    <t>Zmiana stanu należności</t>
  </si>
  <si>
    <t>8.</t>
  </si>
  <si>
    <t>Zmiana stanu zobowiązań krótkoterminowych (bez kredytów i pożyczek)</t>
  </si>
  <si>
    <t>9.</t>
  </si>
  <si>
    <t>Zmiana stanu rozliczeń międzyokresowych</t>
  </si>
  <si>
    <t>10.</t>
  </si>
  <si>
    <t>Inne korekty</t>
  </si>
  <si>
    <t>Środki pieniężne netto z działalności operacyjnej (I+II)</t>
  </si>
  <si>
    <t>Przepływy środków pieniężnych z działalności inwestycyjnej</t>
  </si>
  <si>
    <t>Wpływy inwestycyjne</t>
  </si>
  <si>
    <t>Wydatki inwestycyjne, w tym:</t>
  </si>
  <si>
    <t>Przepływy pieniężne netto z działalności inwestycyjnej (I-II)</t>
  </si>
  <si>
    <t>Przepływy środków pieniężnych z działalności finansowej</t>
  </si>
  <si>
    <t>Wpływy finansowe, w tym:</t>
  </si>
  <si>
    <t>Wydatki finansowe, w tym:</t>
  </si>
  <si>
    <t>Spłaty kredytów i pożyczek, w tym:</t>
  </si>
  <si>
    <t>Odsetki, w tym:</t>
  </si>
  <si>
    <t>Przepływy pieniężne netto z działalności finansowej 
(I-II)</t>
  </si>
  <si>
    <t>Przepływy pieniężne netto razem (A III+B III+C III)</t>
  </si>
  <si>
    <t>Bilansowa zmiana stanu środków pieniężnych</t>
  </si>
  <si>
    <t>Środki pieniężne na początek okresu</t>
  </si>
  <si>
    <t>Środki pieniężne na koniec okresu (F+D)</t>
  </si>
  <si>
    <t>1.2</t>
  </si>
  <si>
    <t>5</t>
  </si>
  <si>
    <t>6</t>
  </si>
  <si>
    <t>7</t>
  </si>
  <si>
    <t>8</t>
  </si>
  <si>
    <t>9</t>
  </si>
  <si>
    <t>Odsetki</t>
  </si>
  <si>
    <t>Kapitał będący podstawą do naliczenia oprocentowania</t>
  </si>
  <si>
    <t>Do zapłaty</t>
  </si>
  <si>
    <t>Kapitał pozostały do spłaty</t>
  </si>
  <si>
    <t>Rata kapitałowa</t>
  </si>
  <si>
    <t>Stopa oprocentowania</t>
  </si>
  <si>
    <t>Data pierwszej transzy</t>
  </si>
  <si>
    <t>Data</t>
  </si>
  <si>
    <t>Odsetki naliczone</t>
  </si>
  <si>
    <t>Rata spłaty pożyczki</t>
  </si>
  <si>
    <t>Jedn</t>
  </si>
  <si>
    <t xml:space="preserve">Wartości niematerialne i prawne </t>
  </si>
  <si>
    <t xml:space="preserve">zł </t>
  </si>
  <si>
    <t xml:space="preserve">2. </t>
  </si>
  <si>
    <t xml:space="preserve">Grunty </t>
  </si>
  <si>
    <t xml:space="preserve">3. </t>
  </si>
  <si>
    <t xml:space="preserve">Budynki, lokale, obiekty inżynierii lądowej i wodnej </t>
  </si>
  <si>
    <t xml:space="preserve">4. </t>
  </si>
  <si>
    <t xml:space="preserve">Urządzenia techniczne i maszyny </t>
  </si>
  <si>
    <t xml:space="preserve">5. </t>
  </si>
  <si>
    <t xml:space="preserve">Środki transportu </t>
  </si>
  <si>
    <t xml:space="preserve">6. </t>
  </si>
  <si>
    <t xml:space="preserve">Inne środki trwałe </t>
  </si>
  <si>
    <t xml:space="preserve">B. </t>
  </si>
  <si>
    <t xml:space="preserve">Koszty nieinwestycyjne (bieżące): </t>
  </si>
  <si>
    <t xml:space="preserve">C. </t>
  </si>
  <si>
    <t xml:space="preserve">Razem koszty przedsięwzięcia (A+B) </t>
  </si>
  <si>
    <t>Koszty poniesione do dnia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</si>
  <si>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</si>
  <si>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</si>
  <si>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</si>
  <si>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</si>
  <si>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</si>
  <si>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</si>
  <si>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</si>
  <si>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</si>
  <si>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</si>
  <si>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Jedn. </t>
  </si>
  <si>
    <t>wartości niematerialne i prawne</t>
  </si>
  <si>
    <t>grunty (w tym prawo wieczystego użytkowania gruntów)</t>
  </si>
  <si>
    <t>budynki, lokale i obiekty inżynierii lądowej i wodnej</t>
  </si>
  <si>
    <t>urządzenia techniczne i maszyny</t>
  </si>
  <si>
    <t>środki transportu</t>
  </si>
  <si>
    <t>inne środki trwałe</t>
  </si>
  <si>
    <t>struktura nakładów</t>
  </si>
  <si>
    <t>W tym nakłady na inwestycje rozwojowe i modernizacyjne</t>
  </si>
  <si>
    <t>stawki amortyzacji</t>
  </si>
  <si>
    <t>Obsługa kredytów i pożyczek poza projektem</t>
  </si>
  <si>
    <t>wysokość kredytu na początek okresu</t>
  </si>
  <si>
    <t>zaciągnięcie kredytu</t>
  </si>
  <si>
    <t>spłata rat</t>
  </si>
  <si>
    <t>wysokość kredytu na koniec okresu</t>
  </si>
  <si>
    <t>spłata odsetek</t>
  </si>
  <si>
    <t>oprocentowanie</t>
  </si>
  <si>
    <t>1.3</t>
  </si>
  <si>
    <t>Obsługa kredytów i pożyczek razem</t>
  </si>
  <si>
    <t>Zaciągnięcie rat ogółem</t>
  </si>
  <si>
    <t>Spłata rat ogółem</t>
  </si>
  <si>
    <t>Spłata odsetek ogółem</t>
  </si>
  <si>
    <t>Zadłużenie na koniec okresu, w tym:</t>
  </si>
  <si>
    <t>część krótkoterminowa</t>
  </si>
  <si>
    <t>pozostały (przeciętny) okres umorzenia</t>
  </si>
  <si>
    <t>amortyzacja</t>
  </si>
  <si>
    <t>Wartości niematerialne i prawne i rzeczowe aktywa trwałe - dane historyczne</t>
  </si>
  <si>
    <t>Prognoza majątku istniejącego - Podmiot (tys. zł)</t>
  </si>
  <si>
    <t xml:space="preserve">Tabela 1. Prognoza majątku istniejącego </t>
  </si>
  <si>
    <t xml:space="preserve">Tabela 2. Plan amortyzacji dla majątku istniejącego </t>
  </si>
  <si>
    <t xml:space="preserve">Tabela 3. Prognozowane nakłady inwestycyjne poza projektem </t>
  </si>
  <si>
    <t xml:space="preserve">Tabela 4. Amortyzacja od majątku z inwestycji poza projektem </t>
  </si>
  <si>
    <t xml:space="preserve">Tabela 5. Wartość majątku netto z inwestycji poza projektem </t>
  </si>
  <si>
    <t xml:space="preserve">Tabela 6. Harmonogram ponoszenia nakładów na Projekt, w tym nakłady odtworzeniowe </t>
  </si>
  <si>
    <t xml:space="preserve">Tabela 7. Amortyzacja od majątku z Projektu </t>
  </si>
  <si>
    <t xml:space="preserve">Tabela 8. Wartość majątku z Projektu netto </t>
  </si>
  <si>
    <t>jednostka</t>
  </si>
  <si>
    <t>Wielkość nakładów na inwestycje poza projektem</t>
  </si>
  <si>
    <t>19</t>
  </si>
  <si>
    <t>Inflacja</t>
  </si>
  <si>
    <t>Inflacja - narastajaco</t>
  </si>
  <si>
    <t>Dynamika realnego wzrostu płac i wynagrodzeń</t>
  </si>
  <si>
    <t>WIBOR 1R</t>
  </si>
  <si>
    <t>Mg</t>
  </si>
  <si>
    <t>Odsetki od pożyczki</t>
  </si>
  <si>
    <t>Okr.</t>
  </si>
  <si>
    <t>Rok</t>
  </si>
  <si>
    <t>Dynamika realnego wzrostu płac i wynagrodzeń - narastająco</t>
  </si>
  <si>
    <t>Lp</t>
  </si>
  <si>
    <t>Transza</t>
  </si>
  <si>
    <t>Raty kapitałowe</t>
  </si>
  <si>
    <t>Transze pożyczek i kredytów - poza projektem</t>
  </si>
  <si>
    <t>Nakłady na inwestycje - poza projektem</t>
  </si>
  <si>
    <t>Rachunek zysków i strat - dane historyczne 2011-2013 (zł)</t>
  </si>
  <si>
    <t>Bilans - dane historyczne 2011-2013 (zł)</t>
  </si>
  <si>
    <t>Rachunek przepływów pieniężnych - dane historyczne 2011-2013 (zł)</t>
  </si>
  <si>
    <t>Przychody  - dane historyczne</t>
  </si>
  <si>
    <t>Ze sprzedaży towarów i materiałów</t>
  </si>
  <si>
    <t>Podwyższenie kapitału zapasowego</t>
  </si>
  <si>
    <t>Podwyższenie kapitału zakładowego</t>
  </si>
  <si>
    <t>ZAŁOŻENIA OGÓLNE</t>
  </si>
  <si>
    <t>Oprocentowanie</t>
  </si>
  <si>
    <t>odsetki od wnioskowanych kredytów</t>
  </si>
  <si>
    <t>Środki trwałe</t>
  </si>
  <si>
    <t>a)</t>
  </si>
  <si>
    <t>b)</t>
  </si>
  <si>
    <t>c)</t>
  </si>
  <si>
    <t>d)</t>
  </si>
  <si>
    <t>e)</t>
  </si>
  <si>
    <t>Zaliczki na środki trwałe w budowie</t>
  </si>
  <si>
    <t>Środki trwałe w budowie</t>
  </si>
  <si>
    <t>grunty (w tym prawo użytkowania wieczystego gruntu)</t>
  </si>
  <si>
    <t>- z tytułu wnioskowanych kredytów</t>
  </si>
  <si>
    <t>- z tytułu wnioskowanego kredytu</t>
  </si>
  <si>
    <t>- spłata odsetek od wnioskowanego kredytu</t>
  </si>
  <si>
    <t>Dotacje z tytułu projektu</t>
  </si>
  <si>
    <t>ZAŁOŻENIA - KREDYT INWESTYCYJNY</t>
  </si>
  <si>
    <t>Obsługa kredytu inwestycyjnego</t>
  </si>
  <si>
    <t>Kwota kredytu:</t>
  </si>
  <si>
    <t>Oprocentowanie kredytu (prognoza)</t>
  </si>
  <si>
    <t>ZAŁOŻENIA - KREDYT OBROTOWY</t>
  </si>
  <si>
    <t>Obliczenia - kredyt inwestycyjny - finansowanie wkładu własnego</t>
  </si>
  <si>
    <t>Obliczenia - kredyt obrotowy - finansowanie VAT</t>
  </si>
  <si>
    <t>wartość początkowa (2016)</t>
  </si>
  <si>
    <t>Zakup 22 szt. Autobusów</t>
  </si>
  <si>
    <t>Stacja ładowania</t>
  </si>
  <si>
    <t>Ze sprzedaży produktów, w tym ze sprzedaży</t>
  </si>
  <si>
    <t>Biletów komunikacyjnych</t>
  </si>
  <si>
    <t>Rekompensata z gminy Jaworzno</t>
  </si>
  <si>
    <t>Przychody ze sprzedaży produktów, w tym ze sprzedaży:</t>
  </si>
  <si>
    <t>Przychody  - założenia dla podmiotu</t>
  </si>
  <si>
    <t>Przychody netto ze sprzedaży towarów i materiałó</t>
  </si>
  <si>
    <t>Przychody netto ze sprzedaży biletów</t>
  </si>
  <si>
    <t>Przychody z rekompensaty</t>
  </si>
  <si>
    <t>Pozostałe przychody</t>
  </si>
  <si>
    <t>Razem - kredyt inwestycyjny+ oborotowy</t>
  </si>
  <si>
    <t>Wzrost r/r</t>
  </si>
  <si>
    <t>Koszty działalności operacyjnej - założenia: dotychczasowa działalność</t>
  </si>
  <si>
    <t>Koszty działalności operacyjnej - założenia: wpływ projektu</t>
  </si>
  <si>
    <t>- rozliczenie wnioskowanej dotacji</t>
  </si>
  <si>
    <t>- odsetki od wnioskowanego kredytu inwestycyjnego i obrotowego</t>
  </si>
  <si>
    <t>Transze kredyt inwestycyjny</t>
  </si>
  <si>
    <t>Transze kredyt obrotowy</t>
  </si>
  <si>
    <t>Transze kredytu inwestycyjnego na pokrycie wkładu własnego</t>
  </si>
  <si>
    <t>Transze kredytu obrotowego na pokrycie VAT do czasu odzyskania</t>
  </si>
  <si>
    <t>zaciągnięcie  kredytu</t>
  </si>
  <si>
    <t>Obsługa kredytu obrotowego</t>
  </si>
  <si>
    <t>Pozostałe przychody operacyjne - dotacja</t>
  </si>
  <si>
    <t>Należności bieżące</t>
  </si>
  <si>
    <t>Zobowiązania bieżące</t>
  </si>
  <si>
    <t>Zmiana kapitału obrotowego netto - wpływ Projektu</t>
  </si>
  <si>
    <t>Pozostałe przychody i koszty operacyjne - Projekt - prognoza</t>
  </si>
  <si>
    <t>- z tytułu wnioskowanej dotacji</t>
  </si>
  <si>
    <t>Harmonogram zaciągania i spłaty kredytów i pożyczek</t>
  </si>
  <si>
    <t>Tabela 9. Podwyższenie kapitału zakładowego - z przeznaczeniem na projekt</t>
  </si>
  <si>
    <t>Tabela 10. Kredyt inwestycyjny na potrzeby finansowania Projektu</t>
  </si>
  <si>
    <t>Tabela 11.Kredyt obrotowy na potrzeby finansowania Projektu</t>
  </si>
  <si>
    <t>Dofinansowanie zgodnie z umową i po aktualizacji kosztów</t>
  </si>
  <si>
    <t>Dofinansowanie zgodnie z umową i przed aktualizacją kosztów</t>
  </si>
  <si>
    <t>Hala, parking</t>
  </si>
  <si>
    <t>Niekwalifikowane</t>
  </si>
  <si>
    <t>Wpływy finansowe z tytułu dotacji</t>
  </si>
  <si>
    <t>TAK</t>
  </si>
  <si>
    <t>Data pierwszej raty kapit.</t>
  </si>
  <si>
    <t>NIE</t>
  </si>
  <si>
    <t>Wzrost przychodów z biletów komunikacyjncyh z tytułu realizacji Projektu (założenia przyjęte do analizy finansowej we wniosku od dofinansowanie)</t>
  </si>
  <si>
    <t>Zgodnie z terminami zwrotu VAT</t>
  </si>
  <si>
    <t>Karencja odsetek (TAK/NIE):</t>
  </si>
  <si>
    <t>środki pieniężne i inne aktywa pieniężne = Środki pieniężne na koniec okresu (F+D)</t>
  </si>
  <si>
    <t>Spłata kredyt inwestycyjny</t>
  </si>
  <si>
    <t>Saldo na 01.01.2017</t>
  </si>
  <si>
    <t>Raty kapitałowe w poszczególnych latach</t>
  </si>
  <si>
    <t>Leasing</t>
  </si>
  <si>
    <t>Odsetki w okresie</t>
  </si>
  <si>
    <t>Założenia</t>
  </si>
  <si>
    <t>Mennica (kredyt odroczony)</t>
  </si>
  <si>
    <t>Solaris 1</t>
  </si>
  <si>
    <t>Solaris 2</t>
  </si>
  <si>
    <t>Kredyt inwestycyjny</t>
  </si>
  <si>
    <t>- spłata odsetek od wnioskowanych kredytów</t>
  </si>
  <si>
    <t>Saldo na 01.01.2016</t>
  </si>
  <si>
    <t>Oprocentowanie/ średnie oprocentowanie</t>
  </si>
  <si>
    <t>Zestawienie - dotychczasowe zadłużenie - część długoterminowa + część krótkoterminowa kredytu inwestycyjnego na 2015.12.31</t>
  </si>
  <si>
    <t>`</t>
  </si>
  <si>
    <t>Transze kredytu inw.</t>
  </si>
  <si>
    <t>Transze kredytu obrotowego</t>
  </si>
  <si>
    <t>1a.</t>
  </si>
  <si>
    <t>Podsumowanie</t>
  </si>
  <si>
    <t>część krótkoterminowa ogółem</t>
  </si>
  <si>
    <t xml:space="preserve">wnioskowane kredyty - część długoterminowa </t>
  </si>
  <si>
    <t xml:space="preserve">wnioskowane kredyty - część krótkoterminowa </t>
  </si>
  <si>
    <t>część długoterminowa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</si>
</sst>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\ #,##0.00&quot;    &quot;;\-#,##0.00&quot;    &quot;;&quot; -&quot;00&quot;    &quot;;@\ "/>
    <numFmt numFmtId="166" formatCode="\ #,##0.00\ [$zł-415]\ ;\-#,##0.00\ [$zł-415]\ ;&quot; -&quot;00\ [$zł-415]\ ;@\ "/>
    <numFmt numFmtId="167" formatCode="0.0"/>
    <numFmt numFmtId="168" formatCode="#,##0.0"/>
    <numFmt numFmtId="169" formatCode="0.0%"/>
    <numFmt numFmtId="170" formatCode="#,##0.0000"/>
    <numFmt numFmtId="171" formatCode="0.0000%"/>
  </numFmts>
  <fonts count="25"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zcionka tekstu podstawowego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0"/>
      <name val="Czcionka tekstu podstawowego"/>
      <family val="2"/>
      <charset val="238"/>
    </font>
    <font>
      <i/>
      <sz val="8"/>
      <color rgb="FF000000"/>
      <name val="Arial"/>
      <family val="2"/>
      <charset val="238"/>
    </font>
    <font>
      <sz val="8"/>
      <color rgb="FFFF0000"/>
      <name val="Czcionka tekstu podstawowego"/>
      <family val="2"/>
      <charset val="238"/>
    </font>
    <font>
      <sz val="8"/>
      <color theme="0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5" fillId="0" borderId="0"/>
    <xf numFmtId="165" fontId="4" fillId="0" borderId="0" applyBorder="0" applyProtection="0"/>
    <xf numFmtId="0" fontId="8" fillId="0" borderId="0" applyBorder="0" applyProtection="0"/>
    <xf numFmtId="0" fontId="9" fillId="0" borderId="0"/>
    <xf numFmtId="0" fontId="3" fillId="0" borderId="0"/>
    <xf numFmtId="0" fontId="4" fillId="0" borderId="0"/>
    <xf numFmtId="0" fontId="10" fillId="0" borderId="0"/>
    <xf numFmtId="0" fontId="8" fillId="0" borderId="0" applyBorder="0" applyProtection="0"/>
    <xf numFmtId="9" fontId="4" fillId="0" borderId="0" applyBorder="0" applyProtection="0"/>
    <xf numFmtId="9" fontId="4" fillId="0" borderId="0" applyFont="0" applyFill="0" applyBorder="0" applyAlignment="0" applyProtection="0"/>
    <xf numFmtId="166" fontId="4" fillId="0" borderId="0" applyBorder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12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167" fontId="15" fillId="0" borderId="14" xfId="0" applyNumberFormat="1" applyFont="1" applyBorder="1" applyAlignment="1">
      <alignment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4" fontId="16" fillId="0" borderId="0" xfId="0" applyNumberFormat="1" applyFont="1"/>
    <xf numFmtId="0" fontId="15" fillId="0" borderId="0" xfId="0" applyFont="1" applyAlignment="1">
      <alignment vertical="center"/>
    </xf>
    <xf numFmtId="167" fontId="14" fillId="0" borderId="7" xfId="0" applyNumberFormat="1" applyFont="1" applyBorder="1" applyAlignment="1">
      <alignment vertical="center"/>
    </xf>
    <xf numFmtId="168" fontId="14" fillId="0" borderId="7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168" fontId="14" fillId="0" borderId="8" xfId="0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169" fontId="14" fillId="0" borderId="7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168" fontId="14" fillId="0" borderId="9" xfId="0" applyNumberFormat="1" applyFont="1" applyBorder="1" applyAlignment="1">
      <alignment vertical="center"/>
    </xf>
    <xf numFmtId="10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7" borderId="7" xfId="0" applyFont="1" applyFill="1" applyBorder="1" applyAlignment="1">
      <alignment horizontal="center" vertical="center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168" fontId="14" fillId="0" borderId="15" xfId="0" applyNumberFormat="1" applyFont="1" applyBorder="1" applyAlignment="1">
      <alignment vertical="center"/>
    </xf>
    <xf numFmtId="10" fontId="14" fillId="0" borderId="15" xfId="0" applyNumberFormat="1" applyFont="1" applyBorder="1" applyAlignment="1">
      <alignment vertical="center"/>
    </xf>
    <xf numFmtId="9" fontId="14" fillId="0" borderId="15" xfId="13" applyFont="1" applyBorder="1" applyAlignment="1">
      <alignment horizontal="center" vertical="center"/>
    </xf>
    <xf numFmtId="9" fontId="14" fillId="0" borderId="9" xfId="13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4" fontId="14" fillId="7" borderId="7" xfId="0" applyNumberFormat="1" applyFont="1" applyFill="1" applyBorder="1" applyAlignment="1">
      <alignment horizontal="right" vertical="center"/>
    </xf>
    <xf numFmtId="4" fontId="14" fillId="0" borderId="7" xfId="0" applyNumberFormat="1" applyFont="1" applyBorder="1" applyAlignment="1">
      <alignment horizontal="right" vertical="center"/>
    </xf>
    <xf numFmtId="4" fontId="14" fillId="0" borderId="8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top" wrapText="1"/>
    </xf>
    <xf numFmtId="4" fontId="6" fillId="0" borderId="7" xfId="0" applyNumberFormat="1" applyFont="1" applyBorder="1"/>
    <xf numFmtId="4" fontId="1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4" fontId="12" fillId="2" borderId="4" xfId="0" applyNumberFormat="1" applyFont="1" applyFill="1" applyBorder="1" applyAlignment="1">
      <alignment horizontal="right" vertical="top" wrapText="1"/>
    </xf>
    <xf numFmtId="4" fontId="12" fillId="2" borderId="5" xfId="0" applyNumberFormat="1" applyFont="1" applyFill="1" applyBorder="1" applyAlignment="1">
      <alignment vertical="top"/>
    </xf>
    <xf numFmtId="4" fontId="12" fillId="2" borderId="2" xfId="0" applyNumberFormat="1" applyFont="1" applyFill="1" applyBorder="1" applyAlignment="1">
      <alignment vertical="top"/>
    </xf>
    <xf numFmtId="4" fontId="12" fillId="2" borderId="2" xfId="0" applyNumberFormat="1" applyFont="1" applyFill="1" applyBorder="1" applyAlignment="1">
      <alignment horizontal="left" vertical="top" wrapText="1"/>
    </xf>
    <xf numFmtId="4" fontId="12" fillId="2" borderId="10" xfId="0" applyNumberFormat="1" applyFont="1" applyFill="1" applyBorder="1" applyAlignment="1">
      <alignment vertical="top" wrapText="1"/>
    </xf>
    <xf numFmtId="4" fontId="12" fillId="2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7" fillId="0" borderId="7" xfId="0" applyFont="1" applyBorder="1"/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4" fontId="13" fillId="2" borderId="3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6" fillId="0" borderId="0" xfId="0" applyNumberFormat="1" applyFont="1"/>
    <xf numFmtId="3" fontId="13" fillId="2" borderId="1" xfId="0" applyNumberFormat="1" applyFont="1" applyFill="1" applyBorder="1" applyAlignment="1">
      <alignment horizontal="right" vertical="top" wrapText="1"/>
    </xf>
    <xf numFmtId="3" fontId="13" fillId="6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0" fontId="18" fillId="0" borderId="0" xfId="0" applyFont="1"/>
    <xf numFmtId="0" fontId="12" fillId="6" borderId="1" xfId="0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0" fontId="14" fillId="0" borderId="0" xfId="0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14" fontId="14" fillId="0" borderId="0" xfId="1" applyNumberFormat="1" applyFont="1" applyAlignment="1">
      <alignment vertical="center"/>
    </xf>
    <xf numFmtId="4" fontId="14" fillId="3" borderId="0" xfId="1" applyNumberFormat="1" applyFont="1" applyFill="1" applyAlignment="1">
      <alignment vertical="center"/>
    </xf>
    <xf numFmtId="4" fontId="14" fillId="4" borderId="0" xfId="1" applyNumberFormat="1" applyFont="1" applyFill="1" applyAlignment="1">
      <alignment vertical="center"/>
    </xf>
    <xf numFmtId="10" fontId="6" fillId="3" borderId="0" xfId="2" applyNumberFormat="1" applyFont="1" applyFill="1" applyAlignment="1">
      <alignment vertical="center"/>
    </xf>
    <xf numFmtId="0" fontId="6" fillId="0" borderId="0" xfId="2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14" fillId="0" borderId="0" xfId="1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4" fontId="14" fillId="0" borderId="7" xfId="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4" fontId="7" fillId="0" borderId="7" xfId="1" applyNumberFormat="1" applyFont="1" applyBorder="1" applyAlignment="1">
      <alignment vertical="center"/>
    </xf>
    <xf numFmtId="4" fontId="15" fillId="0" borderId="7" xfId="1" applyNumberFormat="1" applyFont="1" applyBorder="1" applyAlignment="1">
      <alignment vertical="center"/>
    </xf>
    <xf numFmtId="14" fontId="14" fillId="0" borderId="7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5" fillId="6" borderId="10" xfId="1" applyFont="1" applyFill="1" applyBorder="1" applyAlignment="1">
      <alignment horizontal="left" vertical="center" wrapText="1"/>
    </xf>
    <xf numFmtId="0" fontId="15" fillId="6" borderId="11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8" xfId="1" applyFont="1" applyFill="1" applyBorder="1" applyAlignment="1">
      <alignment horizontal="left" vertical="center" wrapText="1"/>
    </xf>
    <xf numFmtId="0" fontId="15" fillId="6" borderId="7" xfId="1" applyFont="1" applyFill="1" applyBorder="1" applyAlignment="1">
      <alignment horizontal="left" vertical="center" wrapText="1"/>
    </xf>
    <xf numFmtId="0" fontId="15" fillId="6" borderId="9" xfId="1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vertical="center"/>
    </xf>
    <xf numFmtId="0" fontId="15" fillId="6" borderId="9" xfId="1" applyFont="1" applyFill="1" applyBorder="1" applyAlignment="1">
      <alignment horizontal="center" vertical="center" wrapText="1"/>
    </xf>
    <xf numFmtId="4" fontId="15" fillId="0" borderId="7" xfId="1" applyNumberFormat="1" applyFont="1" applyBorder="1" applyAlignment="1">
      <alignment horizontal="right" vertical="center" wrapText="1"/>
    </xf>
    <xf numFmtId="0" fontId="14" fillId="0" borderId="7" xfId="1" applyFont="1" applyBorder="1" applyAlignment="1">
      <alignment vertical="center"/>
    </xf>
    <xf numFmtId="14" fontId="14" fillId="0" borderId="9" xfId="1" applyNumberFormat="1" applyFont="1" applyBorder="1" applyAlignment="1">
      <alignment horizontal="right" vertical="center" wrapText="1"/>
    </xf>
    <xf numFmtId="10" fontId="6" fillId="0" borderId="7" xfId="0" applyNumberFormat="1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5" fillId="6" borderId="9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3" fontId="19" fillId="2" borderId="1" xfId="0" applyNumberFormat="1" applyFont="1" applyFill="1" applyBorder="1" applyAlignment="1">
      <alignment horizontal="righ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0" fillId="0" borderId="0" xfId="0" applyFont="1"/>
    <xf numFmtId="4" fontId="19" fillId="2" borderId="1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Border="1" applyAlignment="1">
      <alignment vertical="center"/>
    </xf>
    <xf numFmtId="4" fontId="20" fillId="0" borderId="0" xfId="0" applyNumberFormat="1" applyFont="1"/>
    <xf numFmtId="10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6" borderId="8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4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4" borderId="0" xfId="0" applyFont="1" applyFill="1" applyAlignment="1">
      <alignment vertical="center" wrapText="1"/>
    </xf>
    <xf numFmtId="4" fontId="7" fillId="4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vertical="center" wrapText="1"/>
    </xf>
    <xf numFmtId="4" fontId="6" fillId="4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4" borderId="0" xfId="0" applyFont="1" applyFill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right" vertical="center" wrapText="1"/>
    </xf>
    <xf numFmtId="4" fontId="13" fillId="6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4" fontId="16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4" fontId="15" fillId="0" borderId="16" xfId="0" applyNumberFormat="1" applyFont="1" applyBorder="1" applyAlignment="1">
      <alignment vertical="center"/>
    </xf>
    <xf numFmtId="0" fontId="13" fillId="6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vertical="center"/>
    </xf>
    <xf numFmtId="3" fontId="1" fillId="2" borderId="0" xfId="0" applyNumberFormat="1" applyFont="1" applyFill="1" applyBorder="1" applyAlignment="1">
      <alignment horizontal="right" vertical="center" wrapText="1"/>
    </xf>
    <xf numFmtId="170" fontId="1" fillId="2" borderId="3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70" fontId="1" fillId="2" borderId="17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4" fontId="1" fillId="2" borderId="18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1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70" fontId="13" fillId="2" borderId="7" xfId="0" applyNumberFormat="1" applyFont="1" applyFill="1" applyBorder="1" applyAlignment="1">
      <alignment horizontal="right" vertical="center" wrapText="1"/>
    </xf>
    <xf numFmtId="4" fontId="13" fillId="2" borderId="7" xfId="0" applyNumberFormat="1" applyFont="1" applyFill="1" applyBorder="1" applyAlignment="1">
      <alignment horizontal="right" vertical="center" wrapText="1"/>
    </xf>
    <xf numFmtId="10" fontId="1" fillId="2" borderId="0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 wrapText="1"/>
    </xf>
    <xf numFmtId="9" fontId="6" fillId="0" borderId="7" xfId="0" applyNumberFormat="1" applyFont="1" applyBorder="1" applyAlignment="1">
      <alignment vertical="center"/>
    </xf>
    <xf numFmtId="1" fontId="13" fillId="6" borderId="1" xfId="0" applyNumberFormat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vertical="center"/>
    </xf>
    <xf numFmtId="4" fontId="14" fillId="0" borderId="0" xfId="1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24" fillId="0" borderId="7" xfId="17" applyNumberFormat="1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6" fillId="0" borderId="7" xfId="0" applyFont="1" applyBorder="1"/>
    <xf numFmtId="0" fontId="6" fillId="0" borderId="0" xfId="0" applyFont="1" applyBorder="1"/>
    <xf numFmtId="4" fontId="6" fillId="0" borderId="0" xfId="0" applyNumberFormat="1" applyFont="1" applyBorder="1"/>
    <xf numFmtId="171" fontId="6" fillId="0" borderId="7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quotePrefix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6" borderId="8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5" fillId="6" borderId="7" xfId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</cellXfs>
  <cellStyles count="18">
    <cellStyle name="Dziesiętny" xfId="17" builtinId="3"/>
    <cellStyle name="Dziesiętny 2" xfId="3"/>
    <cellStyle name="Dziesiętny 3" xfId="16"/>
    <cellStyle name="Excel Built-in Normal" xfId="4"/>
    <cellStyle name="Normal_Energia2" xfId="5"/>
    <cellStyle name="Normalny" xfId="0" builtinId="0"/>
    <cellStyle name="Normalny 2" xfId="1"/>
    <cellStyle name="Normalny 3" xfId="6"/>
    <cellStyle name="Normalny 4" xfId="2"/>
    <cellStyle name="Normalny 5" xfId="7"/>
    <cellStyle name="Normalny 6" xfId="8"/>
    <cellStyle name="Normalny 7" xfId="9"/>
    <cellStyle name="Procentowy" xfId="13" builtinId="5"/>
    <cellStyle name="Procentowy 2" xfId="10"/>
    <cellStyle name="Procentowy 3" xfId="11"/>
    <cellStyle name="Procentowy 4" xfId="14"/>
    <cellStyle name="Walutowy 2" xfId="12"/>
    <cellStyle name="Walutowy 3" xfId="15"/>
  </cellStyles>
  <dxfs count="2">
    <dxf>
      <font>
        <color rgb="FFFFFFCC"/>
      </font>
    </dxf>
    <dxf>
      <font>
        <color theme="0"/>
      </font>
    </dxf>
  </dxfs>
  <tableStyles count="0" defaultTableStyle="TableStyleMedium9" defaultPivotStyle="PivotStyleLight16"/>
  <colors>
    <mruColors>
      <color rgb="FFDDDDDD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C000"/>
    <pageSetUpPr fitToPage="1"/>
  </sheetPr>
  <dimension ref="A1:U306"/>
  <sheetViews>
    <sheetView showGridLines="0" zoomScaleNormal="100" workbookViewId="0">
      <pane xSplit="4" ySplit="1" topLeftCell="E216" activePane="bottomRight" state="frozen"/>
      <selection pane="topRight" activeCell="E1" sqref="E1"/>
      <selection pane="bottomLeft" activeCell="A2" sqref="A2"/>
      <selection pane="bottomRight" activeCell="K227" sqref="K227"/>
    </sheetView>
  </sheetViews>
  <sheetFormatPr defaultColWidth="8.69921875" defaultRowHeight="10.199999999999999"/>
  <cols>
    <col min="1" max="1" width="3.3984375" style="105" bestFit="1" customWidth="1"/>
    <col min="2" max="2" width="38.3984375" style="105" customWidth="1"/>
    <col min="3" max="3" width="13.296875" style="105" bestFit="1" customWidth="1"/>
    <col min="4" max="4" width="9.296875" style="105" bestFit="1" customWidth="1"/>
    <col min="5" max="5" width="10.09765625" style="105" bestFit="1" customWidth="1"/>
    <col min="6" max="6" width="11" style="105" bestFit="1" customWidth="1"/>
    <col min="7" max="19" width="10.09765625" style="105" bestFit="1" customWidth="1"/>
    <col min="20" max="21" width="9.5" style="105" bestFit="1" customWidth="1"/>
    <col min="22" max="16384" width="8.69921875" style="105"/>
  </cols>
  <sheetData>
    <row r="1" spans="1:21" s="183" customFormat="1">
      <c r="E1" s="183">
        <v>2012</v>
      </c>
      <c r="F1" s="183">
        <v>2013</v>
      </c>
      <c r="G1" s="183">
        <v>2014</v>
      </c>
      <c r="H1" s="183">
        <v>2015</v>
      </c>
      <c r="I1" s="183">
        <v>2016</v>
      </c>
      <c r="J1" s="183">
        <v>2017</v>
      </c>
      <c r="K1" s="183">
        <v>2018</v>
      </c>
      <c r="L1" s="183">
        <v>2019</v>
      </c>
      <c r="M1" s="183">
        <v>2020</v>
      </c>
      <c r="N1" s="183">
        <v>2021</v>
      </c>
      <c r="O1" s="183">
        <v>2022</v>
      </c>
      <c r="P1" s="183">
        <v>2023</v>
      </c>
      <c r="Q1" s="183">
        <v>2024</v>
      </c>
      <c r="R1" s="183">
        <v>2025</v>
      </c>
      <c r="S1" s="183">
        <v>2026</v>
      </c>
      <c r="T1" s="183">
        <v>2027</v>
      </c>
      <c r="U1" s="183">
        <v>2028</v>
      </c>
    </row>
    <row r="3" spans="1:21">
      <c r="B3" s="124" t="s">
        <v>241</v>
      </c>
    </row>
    <row r="5" spans="1:21">
      <c r="A5" s="30" t="s">
        <v>0</v>
      </c>
      <c r="B5" s="289" t="s">
        <v>4</v>
      </c>
      <c r="C5" s="290" t="s">
        <v>181</v>
      </c>
      <c r="D5" s="31">
        <v>2008</v>
      </c>
      <c r="E5" s="31">
        <f>E1</f>
        <v>2012</v>
      </c>
      <c r="F5" s="31">
        <f t="shared" ref="F5:U5" si="0">F1</f>
        <v>2013</v>
      </c>
      <c r="G5" s="31">
        <f t="shared" si="0"/>
        <v>2014</v>
      </c>
      <c r="H5" s="31">
        <f t="shared" si="0"/>
        <v>2015</v>
      </c>
      <c r="I5" s="31">
        <f t="shared" si="0"/>
        <v>2016</v>
      </c>
      <c r="J5" s="31">
        <f t="shared" si="0"/>
        <v>2017</v>
      </c>
      <c r="K5" s="31">
        <f t="shared" si="0"/>
        <v>2018</v>
      </c>
      <c r="L5" s="31">
        <f t="shared" si="0"/>
        <v>2019</v>
      </c>
      <c r="M5" s="31">
        <f t="shared" si="0"/>
        <v>2020</v>
      </c>
      <c r="N5" s="31">
        <f t="shared" si="0"/>
        <v>2021</v>
      </c>
      <c r="O5" s="31">
        <f t="shared" si="0"/>
        <v>2022</v>
      </c>
      <c r="P5" s="31">
        <f t="shared" si="0"/>
        <v>2023</v>
      </c>
      <c r="Q5" s="31">
        <f t="shared" si="0"/>
        <v>2024</v>
      </c>
      <c r="R5" s="31">
        <f t="shared" si="0"/>
        <v>2025</v>
      </c>
      <c r="S5" s="31">
        <f t="shared" si="0"/>
        <v>2026</v>
      </c>
      <c r="T5" s="31">
        <f t="shared" si="0"/>
        <v>2027</v>
      </c>
      <c r="U5" s="31">
        <f t="shared" si="0"/>
        <v>2028</v>
      </c>
    </row>
    <row r="6" spans="1:21">
      <c r="A6" s="115" t="s">
        <v>5</v>
      </c>
      <c r="B6" s="22" t="s">
        <v>220</v>
      </c>
      <c r="C6" s="23" t="s">
        <v>3</v>
      </c>
      <c r="D6" s="23"/>
      <c r="E6" s="23"/>
      <c r="F6" s="181"/>
      <c r="G6" s="181"/>
      <c r="H6" s="141"/>
      <c r="I6" s="141"/>
      <c r="J6" s="141">
        <v>1</v>
      </c>
      <c r="K6" s="141">
        <v>1.01</v>
      </c>
      <c r="L6" s="141">
        <v>1.01</v>
      </c>
      <c r="M6" s="141">
        <v>1.01</v>
      </c>
      <c r="N6" s="141">
        <v>1.01</v>
      </c>
      <c r="O6" s="141">
        <v>1.01</v>
      </c>
      <c r="P6" s="141">
        <v>1.01</v>
      </c>
      <c r="Q6" s="141">
        <v>1.01</v>
      </c>
      <c r="R6" s="141">
        <v>1.01</v>
      </c>
      <c r="S6" s="141">
        <v>1.01</v>
      </c>
      <c r="T6" s="141">
        <v>1.01</v>
      </c>
      <c r="U6" s="141">
        <v>1.01</v>
      </c>
    </row>
    <row r="7" spans="1:21">
      <c r="A7" s="115" t="s">
        <v>7</v>
      </c>
      <c r="B7" s="22" t="s">
        <v>221</v>
      </c>
      <c r="C7" s="23" t="s">
        <v>3</v>
      </c>
      <c r="D7" s="23"/>
      <c r="E7" s="23"/>
      <c r="F7" s="181"/>
      <c r="G7" s="181"/>
      <c r="H7" s="181"/>
      <c r="I7" s="181"/>
      <c r="J7" s="181">
        <v>1</v>
      </c>
      <c r="K7" s="181">
        <f t="shared" ref="K7:U7" si="1">ROUND(J7*K6,4)</f>
        <v>1.01</v>
      </c>
      <c r="L7" s="181">
        <f t="shared" si="1"/>
        <v>1.0201</v>
      </c>
      <c r="M7" s="181">
        <f t="shared" si="1"/>
        <v>1.0303</v>
      </c>
      <c r="N7" s="181">
        <f t="shared" si="1"/>
        <v>1.0406</v>
      </c>
      <c r="O7" s="181">
        <f t="shared" si="1"/>
        <v>1.0509999999999999</v>
      </c>
      <c r="P7" s="181">
        <f t="shared" si="1"/>
        <v>1.0615000000000001</v>
      </c>
      <c r="Q7" s="181">
        <f t="shared" si="1"/>
        <v>1.0721000000000001</v>
      </c>
      <c r="R7" s="181">
        <f t="shared" si="1"/>
        <v>1.0828</v>
      </c>
      <c r="S7" s="181">
        <f t="shared" si="1"/>
        <v>1.0935999999999999</v>
      </c>
      <c r="T7" s="181">
        <f t="shared" si="1"/>
        <v>1.1045</v>
      </c>
      <c r="U7" s="181">
        <f t="shared" si="1"/>
        <v>1.1154999999999999</v>
      </c>
    </row>
    <row r="8" spans="1:21">
      <c r="A8" s="115" t="s">
        <v>8</v>
      </c>
      <c r="B8" s="22" t="s">
        <v>222</v>
      </c>
      <c r="C8" s="23" t="s">
        <v>3</v>
      </c>
      <c r="D8" s="23"/>
      <c r="E8" s="23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1">
      <c r="A9" s="115" t="s">
        <v>9</v>
      </c>
      <c r="B9" s="22" t="s">
        <v>228</v>
      </c>
      <c r="C9" s="23" t="s">
        <v>3</v>
      </c>
      <c r="D9" s="23"/>
      <c r="E9" s="23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21">
      <c r="A10" s="115" t="s">
        <v>21</v>
      </c>
      <c r="B10" s="22" t="s">
        <v>223</v>
      </c>
      <c r="C10" s="23" t="s">
        <v>3</v>
      </c>
      <c r="D10" s="23"/>
      <c r="E10" s="23"/>
      <c r="F10" s="181"/>
      <c r="G10" s="181"/>
      <c r="H10" s="181"/>
      <c r="I10" s="181"/>
      <c r="J10" s="181">
        <v>1.8100000000000002E-2</v>
      </c>
      <c r="K10" s="181">
        <v>1.8100000000000002E-2</v>
      </c>
      <c r="L10" s="181">
        <v>0.02</v>
      </c>
      <c r="M10" s="181">
        <v>2.8500000000000001E-2</v>
      </c>
      <c r="N10" s="181">
        <v>3.5000000000000003E-2</v>
      </c>
      <c r="O10" s="181">
        <v>4.7E-2</v>
      </c>
      <c r="P10" s="181">
        <f>O10</f>
        <v>4.7E-2</v>
      </c>
      <c r="Q10" s="181">
        <f t="shared" ref="Q10:U10" si="2">P10</f>
        <v>4.7E-2</v>
      </c>
      <c r="R10" s="181">
        <f t="shared" si="2"/>
        <v>4.7E-2</v>
      </c>
      <c r="S10" s="181">
        <f t="shared" si="2"/>
        <v>4.7E-2</v>
      </c>
      <c r="T10" s="181">
        <f t="shared" si="2"/>
        <v>4.7E-2</v>
      </c>
      <c r="U10" s="181">
        <f t="shared" si="2"/>
        <v>4.7E-2</v>
      </c>
    </row>
    <row r="11" spans="1:21">
      <c r="A11" s="115"/>
      <c r="B11" s="22"/>
      <c r="C11" s="23"/>
      <c r="D11" s="23"/>
      <c r="E11" s="23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1" ht="12.6" customHeight="1">
      <c r="B12" s="53"/>
      <c r="C12" s="54"/>
      <c r="D12" s="54"/>
      <c r="E12" s="54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>
      <c r="A13" s="127"/>
      <c r="B13" s="182"/>
      <c r="C13" s="182"/>
      <c r="D13" s="128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5" spans="1:21" ht="13.95" customHeight="1">
      <c r="A15" s="281" t="s">
        <v>0</v>
      </c>
      <c r="B15" s="281" t="s">
        <v>4</v>
      </c>
      <c r="C15" s="281" t="s">
        <v>154</v>
      </c>
      <c r="D15" s="283" t="s">
        <v>2</v>
      </c>
      <c r="E15" s="283" t="s">
        <v>171</v>
      </c>
      <c r="F15" s="283"/>
      <c r="G15" s="283"/>
    </row>
    <row r="16" spans="1:21">
      <c r="A16" s="281"/>
      <c r="B16" s="281"/>
      <c r="C16" s="281"/>
      <c r="D16" s="283"/>
      <c r="E16" s="184">
        <v>41274</v>
      </c>
      <c r="F16" s="184">
        <v>41639</v>
      </c>
      <c r="G16" s="184">
        <v>42004</v>
      </c>
      <c r="H16" s="184">
        <v>42369</v>
      </c>
      <c r="I16" s="184">
        <v>42735</v>
      </c>
      <c r="J16" s="184">
        <v>43100</v>
      </c>
      <c r="K16" s="184">
        <v>43465</v>
      </c>
      <c r="L16" s="184">
        <v>43830</v>
      </c>
      <c r="M16" s="184">
        <v>44196</v>
      </c>
      <c r="N16" s="184">
        <v>44561</v>
      </c>
      <c r="O16" s="184">
        <v>44926</v>
      </c>
      <c r="P16" s="184">
        <v>45291</v>
      </c>
      <c r="Q16" s="184">
        <v>45657</v>
      </c>
      <c r="R16" s="184">
        <v>46022</v>
      </c>
      <c r="S16" s="184">
        <v>46387</v>
      </c>
      <c r="T16" s="184">
        <v>46752</v>
      </c>
      <c r="U16" s="184">
        <v>47118</v>
      </c>
    </row>
    <row r="17" spans="1:21" s="124" customFormat="1">
      <c r="A17" s="185" t="s">
        <v>14</v>
      </c>
      <c r="B17" s="185" t="s">
        <v>15</v>
      </c>
      <c r="C17" s="185" t="s">
        <v>16</v>
      </c>
      <c r="D17" s="186">
        <f t="shared" ref="D17:D39" si="3">SUM(E17:U17)</f>
        <v>54921921.859999999</v>
      </c>
      <c r="E17" s="186">
        <f>E18+E21+E24+E27+E30+E33</f>
        <v>0</v>
      </c>
      <c r="F17" s="186">
        <f>F18+F21+F24+F27+F30+F33</f>
        <v>0</v>
      </c>
      <c r="G17" s="186">
        <f>G18+G21+G24+G27+G30+G33</f>
        <v>0</v>
      </c>
      <c r="H17" s="186">
        <f t="shared" ref="H17:S17" si="4">H18+H21+H24+H27+H30+H33</f>
        <v>0</v>
      </c>
      <c r="I17" s="186">
        <f t="shared" si="4"/>
        <v>261670</v>
      </c>
      <c r="J17" s="186">
        <f t="shared" si="4"/>
        <v>54660251.859999999</v>
      </c>
      <c r="K17" s="186">
        <f t="shared" si="4"/>
        <v>0</v>
      </c>
      <c r="L17" s="186">
        <f t="shared" si="4"/>
        <v>0</v>
      </c>
      <c r="M17" s="186">
        <f t="shared" si="4"/>
        <v>0</v>
      </c>
      <c r="N17" s="186">
        <f t="shared" si="4"/>
        <v>0</v>
      </c>
      <c r="O17" s="186">
        <f t="shared" si="4"/>
        <v>0</v>
      </c>
      <c r="P17" s="186">
        <f t="shared" si="4"/>
        <v>0</v>
      </c>
      <c r="Q17" s="186">
        <f t="shared" si="4"/>
        <v>0</v>
      </c>
      <c r="R17" s="186">
        <f t="shared" si="4"/>
        <v>0</v>
      </c>
      <c r="S17" s="186">
        <f t="shared" si="4"/>
        <v>0</v>
      </c>
      <c r="T17" s="186">
        <f t="shared" ref="T17:U17" si="5">T18+T21+T24+T27+T30+T33</f>
        <v>0</v>
      </c>
      <c r="U17" s="186">
        <f t="shared" si="5"/>
        <v>0</v>
      </c>
    </row>
    <row r="18" spans="1:21" s="124" customFormat="1">
      <c r="A18" s="124" t="s">
        <v>5</v>
      </c>
      <c r="B18" s="124" t="s">
        <v>155</v>
      </c>
      <c r="C18" s="124" t="s">
        <v>156</v>
      </c>
      <c r="D18" s="186">
        <f t="shared" si="3"/>
        <v>0</v>
      </c>
      <c r="E18" s="187">
        <f>SUM(E19:E20)</f>
        <v>0</v>
      </c>
      <c r="F18" s="187">
        <f t="shared" ref="F18:H18" si="6">SUM(F19:F20)</f>
        <v>0</v>
      </c>
      <c r="G18" s="187">
        <f t="shared" si="6"/>
        <v>0</v>
      </c>
      <c r="H18" s="187">
        <f t="shared" si="6"/>
        <v>0</v>
      </c>
      <c r="I18" s="187">
        <f t="shared" ref="I18:S18" si="7">SUM(I19:I20)</f>
        <v>0</v>
      </c>
      <c r="J18" s="187">
        <f t="shared" si="7"/>
        <v>0</v>
      </c>
      <c r="K18" s="187">
        <f t="shared" si="7"/>
        <v>0</v>
      </c>
      <c r="L18" s="187">
        <f t="shared" si="7"/>
        <v>0</v>
      </c>
      <c r="M18" s="187">
        <f t="shared" si="7"/>
        <v>0</v>
      </c>
      <c r="N18" s="187">
        <f t="shared" si="7"/>
        <v>0</v>
      </c>
      <c r="O18" s="187">
        <f t="shared" si="7"/>
        <v>0</v>
      </c>
      <c r="P18" s="187">
        <f t="shared" si="7"/>
        <v>0</v>
      </c>
      <c r="Q18" s="187">
        <f t="shared" si="7"/>
        <v>0</v>
      </c>
      <c r="R18" s="187">
        <f t="shared" si="7"/>
        <v>0</v>
      </c>
      <c r="S18" s="187">
        <f t="shared" si="7"/>
        <v>0</v>
      </c>
      <c r="T18" s="187">
        <f t="shared" ref="T18:U18" si="8">SUM(T19:T20)</f>
        <v>0</v>
      </c>
      <c r="U18" s="187">
        <f t="shared" si="8"/>
        <v>0</v>
      </c>
    </row>
    <row r="19" spans="1:21">
      <c r="A19" s="188"/>
      <c r="B19" s="189"/>
      <c r="C19" s="105" t="s">
        <v>16</v>
      </c>
      <c r="D19" s="190">
        <f t="shared" si="3"/>
        <v>0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1">
      <c r="A20" s="188"/>
      <c r="B20" s="188"/>
      <c r="C20" s="192" t="s">
        <v>16</v>
      </c>
      <c r="D20" s="190">
        <f t="shared" si="3"/>
        <v>0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1:21" s="124" customFormat="1">
      <c r="A21" s="124" t="s">
        <v>157</v>
      </c>
      <c r="B21" s="124" t="s">
        <v>158</v>
      </c>
      <c r="C21" s="124" t="s">
        <v>156</v>
      </c>
      <c r="D21" s="186">
        <f t="shared" si="3"/>
        <v>0</v>
      </c>
      <c r="E21" s="187">
        <f>SUM(E22:E23)</f>
        <v>0</v>
      </c>
      <c r="F21" s="187">
        <f>SUM(F22:F23)</f>
        <v>0</v>
      </c>
      <c r="G21" s="187">
        <f>SUM(G22:G23)</f>
        <v>0</v>
      </c>
      <c r="H21" s="187">
        <f t="shared" ref="H21:S21" si="9">SUM(H22:H23)</f>
        <v>0</v>
      </c>
      <c r="I21" s="187">
        <f t="shared" si="9"/>
        <v>0</v>
      </c>
      <c r="J21" s="187">
        <f t="shared" si="9"/>
        <v>0</v>
      </c>
      <c r="K21" s="187">
        <f t="shared" si="9"/>
        <v>0</v>
      </c>
      <c r="L21" s="187">
        <f t="shared" si="9"/>
        <v>0</v>
      </c>
      <c r="M21" s="187">
        <f t="shared" si="9"/>
        <v>0</v>
      </c>
      <c r="N21" s="187">
        <f t="shared" si="9"/>
        <v>0</v>
      </c>
      <c r="O21" s="187">
        <f t="shared" si="9"/>
        <v>0</v>
      </c>
      <c r="P21" s="187">
        <f t="shared" si="9"/>
        <v>0</v>
      </c>
      <c r="Q21" s="187">
        <f t="shared" si="9"/>
        <v>0</v>
      </c>
      <c r="R21" s="187">
        <f t="shared" si="9"/>
        <v>0</v>
      </c>
      <c r="S21" s="187">
        <f t="shared" si="9"/>
        <v>0</v>
      </c>
      <c r="T21" s="187">
        <f t="shared" ref="T21:U21" si="10">SUM(T22:T23)</f>
        <v>0</v>
      </c>
      <c r="U21" s="187">
        <f t="shared" si="10"/>
        <v>0</v>
      </c>
    </row>
    <row r="22" spans="1:21">
      <c r="A22" s="188"/>
      <c r="B22" s="189"/>
      <c r="C22" s="105" t="s">
        <v>16</v>
      </c>
      <c r="D22" s="190">
        <f t="shared" si="3"/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>
      <c r="A23" s="188"/>
      <c r="B23" s="188"/>
      <c r="C23" s="192" t="s">
        <v>16</v>
      </c>
      <c r="D23" s="190">
        <f t="shared" si="3"/>
        <v>0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s="124" customFormat="1">
      <c r="A24" s="124" t="s">
        <v>159</v>
      </c>
      <c r="B24" s="124" t="s">
        <v>160</v>
      </c>
      <c r="C24" s="124" t="s">
        <v>156</v>
      </c>
      <c r="D24" s="186">
        <f t="shared" si="3"/>
        <v>5716427.9699999997</v>
      </c>
      <c r="E24" s="187">
        <f>SUM(E25:E26)</f>
        <v>0</v>
      </c>
      <c r="F24" s="187">
        <f>SUM(F25:F26)</f>
        <v>0</v>
      </c>
      <c r="G24" s="187">
        <f>SUM(G25:G26)</f>
        <v>0</v>
      </c>
      <c r="H24" s="187">
        <f t="shared" ref="H24:S24" si="11">SUM(H25:H26)</f>
        <v>0</v>
      </c>
      <c r="I24" s="187">
        <f t="shared" si="11"/>
        <v>261670</v>
      </c>
      <c r="J24" s="187">
        <f t="shared" si="11"/>
        <v>5454757.9699999997</v>
      </c>
      <c r="K24" s="187">
        <f t="shared" si="11"/>
        <v>0</v>
      </c>
      <c r="L24" s="187">
        <f t="shared" si="11"/>
        <v>0</v>
      </c>
      <c r="M24" s="187">
        <f t="shared" si="11"/>
        <v>0</v>
      </c>
      <c r="N24" s="187">
        <f t="shared" si="11"/>
        <v>0</v>
      </c>
      <c r="O24" s="187">
        <f t="shared" si="11"/>
        <v>0</v>
      </c>
      <c r="P24" s="187">
        <f t="shared" si="11"/>
        <v>0</v>
      </c>
      <c r="Q24" s="187">
        <f t="shared" si="11"/>
        <v>0</v>
      </c>
      <c r="R24" s="187">
        <f t="shared" si="11"/>
        <v>0</v>
      </c>
      <c r="S24" s="187">
        <f t="shared" si="11"/>
        <v>0</v>
      </c>
      <c r="T24" s="187">
        <f t="shared" ref="T24:U24" si="12">SUM(T25:T26)</f>
        <v>0</v>
      </c>
      <c r="U24" s="187">
        <f t="shared" si="12"/>
        <v>0</v>
      </c>
    </row>
    <row r="25" spans="1:21">
      <c r="A25" s="188"/>
      <c r="B25" s="189" t="s">
        <v>300</v>
      </c>
      <c r="C25" s="105" t="s">
        <v>16</v>
      </c>
      <c r="D25" s="190">
        <f t="shared" si="3"/>
        <v>5449457.9699999997</v>
      </c>
      <c r="E25" s="191"/>
      <c r="F25" s="191"/>
      <c r="G25" s="191"/>
      <c r="H25" s="191"/>
      <c r="I25" s="191"/>
      <c r="J25" s="191">
        <v>5449457.9699999997</v>
      </c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>
      <c r="A26" s="188"/>
      <c r="B26" s="188" t="s">
        <v>301</v>
      </c>
      <c r="C26" s="192" t="s">
        <v>16</v>
      </c>
      <c r="D26" s="190">
        <f t="shared" si="3"/>
        <v>266970</v>
      </c>
      <c r="E26" s="191"/>
      <c r="F26" s="191"/>
      <c r="G26" s="191"/>
      <c r="H26" s="191"/>
      <c r="I26" s="191">
        <v>261670</v>
      </c>
      <c r="J26" s="191">
        <v>5300</v>
      </c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1" s="124" customFormat="1">
      <c r="A27" s="124" t="s">
        <v>161</v>
      </c>
      <c r="B27" s="124" t="s">
        <v>162</v>
      </c>
      <c r="C27" s="124" t="s">
        <v>156</v>
      </c>
      <c r="D27" s="186">
        <f t="shared" si="3"/>
        <v>3085493.8899999997</v>
      </c>
      <c r="E27" s="187">
        <f>SUM(E28:E29)</f>
        <v>0</v>
      </c>
      <c r="F27" s="187">
        <f>SUM(F28:F29)</f>
        <v>0</v>
      </c>
      <c r="G27" s="187">
        <f>SUM(G28:G29)</f>
        <v>0</v>
      </c>
      <c r="H27" s="187">
        <f t="shared" ref="H27:S27" si="13">SUM(H28:H29)</f>
        <v>0</v>
      </c>
      <c r="I27" s="187">
        <f t="shared" si="13"/>
        <v>0</v>
      </c>
      <c r="J27" s="187">
        <f t="shared" si="13"/>
        <v>3085493.8899999997</v>
      </c>
      <c r="K27" s="187">
        <f t="shared" si="13"/>
        <v>0</v>
      </c>
      <c r="L27" s="187">
        <f t="shared" si="13"/>
        <v>0</v>
      </c>
      <c r="M27" s="187">
        <f t="shared" si="13"/>
        <v>0</v>
      </c>
      <c r="N27" s="187">
        <f t="shared" si="13"/>
        <v>0</v>
      </c>
      <c r="O27" s="187">
        <f t="shared" si="13"/>
        <v>0</v>
      </c>
      <c r="P27" s="187">
        <f t="shared" si="13"/>
        <v>0</v>
      </c>
      <c r="Q27" s="187">
        <f t="shared" si="13"/>
        <v>0</v>
      </c>
      <c r="R27" s="187">
        <f t="shared" si="13"/>
        <v>0</v>
      </c>
      <c r="S27" s="187">
        <f t="shared" si="13"/>
        <v>0</v>
      </c>
      <c r="T27" s="187">
        <f t="shared" ref="T27:U27" si="14">SUM(T28:T29)</f>
        <v>0</v>
      </c>
      <c r="U27" s="187">
        <f t="shared" si="14"/>
        <v>0</v>
      </c>
    </row>
    <row r="28" spans="1:21">
      <c r="A28" s="188"/>
      <c r="B28" s="189" t="s">
        <v>266</v>
      </c>
      <c r="C28" s="105" t="s">
        <v>16</v>
      </c>
      <c r="D28" s="190">
        <f t="shared" si="3"/>
        <v>3028617.07</v>
      </c>
      <c r="E28" s="191"/>
      <c r="F28" s="191"/>
      <c r="G28" s="191"/>
      <c r="H28" s="191"/>
      <c r="I28" s="191"/>
      <c r="J28" s="191">
        <v>3028617.07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</row>
    <row r="29" spans="1:21">
      <c r="A29" s="188"/>
      <c r="B29" s="188" t="s">
        <v>301</v>
      </c>
      <c r="C29" s="192" t="s">
        <v>16</v>
      </c>
      <c r="D29" s="190">
        <f t="shared" si="3"/>
        <v>56876.82</v>
      </c>
      <c r="E29" s="191"/>
      <c r="F29" s="191"/>
      <c r="G29" s="191"/>
      <c r="H29" s="191"/>
      <c r="I29" s="191"/>
      <c r="J29" s="191">
        <v>56876.82</v>
      </c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1:21" s="124" customFormat="1">
      <c r="A30" s="124" t="s">
        <v>163</v>
      </c>
      <c r="B30" s="124" t="s">
        <v>164</v>
      </c>
      <c r="C30" s="124" t="s">
        <v>156</v>
      </c>
      <c r="D30" s="186">
        <f t="shared" si="3"/>
        <v>46120000</v>
      </c>
      <c r="E30" s="187">
        <f>SUM(E31:E32)</f>
        <v>0</v>
      </c>
      <c r="F30" s="187">
        <f t="shared" ref="F30:S30" si="15">SUM(F31:F32)</f>
        <v>0</v>
      </c>
      <c r="G30" s="187">
        <f t="shared" si="15"/>
        <v>0</v>
      </c>
      <c r="H30" s="187">
        <f t="shared" si="15"/>
        <v>0</v>
      </c>
      <c r="I30" s="187">
        <f t="shared" si="15"/>
        <v>0</v>
      </c>
      <c r="J30" s="187">
        <f t="shared" si="15"/>
        <v>46120000</v>
      </c>
      <c r="K30" s="187">
        <f t="shared" si="15"/>
        <v>0</v>
      </c>
      <c r="L30" s="187">
        <f t="shared" si="15"/>
        <v>0</v>
      </c>
      <c r="M30" s="187">
        <f t="shared" si="15"/>
        <v>0</v>
      </c>
      <c r="N30" s="187">
        <f t="shared" si="15"/>
        <v>0</v>
      </c>
      <c r="O30" s="187">
        <f t="shared" si="15"/>
        <v>0</v>
      </c>
      <c r="P30" s="187">
        <f t="shared" si="15"/>
        <v>0</v>
      </c>
      <c r="Q30" s="187">
        <f t="shared" si="15"/>
        <v>0</v>
      </c>
      <c r="R30" s="187">
        <f t="shared" si="15"/>
        <v>0</v>
      </c>
      <c r="S30" s="187">
        <f t="shared" si="15"/>
        <v>0</v>
      </c>
      <c r="T30" s="187">
        <f t="shared" ref="T30:U30" si="16">SUM(T31:T32)</f>
        <v>0</v>
      </c>
      <c r="U30" s="187">
        <f t="shared" si="16"/>
        <v>0</v>
      </c>
    </row>
    <row r="31" spans="1:21">
      <c r="A31" s="188"/>
      <c r="B31" s="189" t="s">
        <v>265</v>
      </c>
      <c r="C31" s="105" t="s">
        <v>16</v>
      </c>
      <c r="D31" s="190">
        <f t="shared" si="3"/>
        <v>46120000</v>
      </c>
      <c r="E31" s="191"/>
      <c r="F31" s="191"/>
      <c r="G31" s="191"/>
      <c r="H31" s="191"/>
      <c r="I31" s="191"/>
      <c r="J31" s="191">
        <v>46120000</v>
      </c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</row>
    <row r="32" spans="1:21">
      <c r="A32" s="188"/>
      <c r="B32" s="188"/>
      <c r="C32" s="192" t="s">
        <v>16</v>
      </c>
      <c r="D32" s="190">
        <f t="shared" si="3"/>
        <v>0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</row>
    <row r="33" spans="1:21" s="124" customFormat="1">
      <c r="A33" s="124" t="s">
        <v>165</v>
      </c>
      <c r="B33" s="124" t="s">
        <v>166</v>
      </c>
      <c r="C33" s="124" t="s">
        <v>156</v>
      </c>
      <c r="D33" s="186">
        <f t="shared" si="3"/>
        <v>0</v>
      </c>
      <c r="E33" s="187">
        <f>SUM(E34:E35)</f>
        <v>0</v>
      </c>
      <c r="F33" s="187">
        <f t="shared" ref="F33:S33" si="17">SUM(F34:F35)</f>
        <v>0</v>
      </c>
      <c r="G33" s="187">
        <f t="shared" si="17"/>
        <v>0</v>
      </c>
      <c r="H33" s="187">
        <f t="shared" si="17"/>
        <v>0</v>
      </c>
      <c r="I33" s="187">
        <f t="shared" si="17"/>
        <v>0</v>
      </c>
      <c r="J33" s="187">
        <f t="shared" si="17"/>
        <v>0</v>
      </c>
      <c r="K33" s="187">
        <f t="shared" si="17"/>
        <v>0</v>
      </c>
      <c r="L33" s="187">
        <f t="shared" si="17"/>
        <v>0</v>
      </c>
      <c r="M33" s="187">
        <f t="shared" si="17"/>
        <v>0</v>
      </c>
      <c r="N33" s="187">
        <f t="shared" si="17"/>
        <v>0</v>
      </c>
      <c r="O33" s="187">
        <f t="shared" si="17"/>
        <v>0</v>
      </c>
      <c r="P33" s="187">
        <f t="shared" si="17"/>
        <v>0</v>
      </c>
      <c r="Q33" s="187">
        <f t="shared" si="17"/>
        <v>0</v>
      </c>
      <c r="R33" s="187">
        <f t="shared" si="17"/>
        <v>0</v>
      </c>
      <c r="S33" s="187">
        <f t="shared" si="17"/>
        <v>0</v>
      </c>
      <c r="T33" s="187">
        <f t="shared" ref="T33:U33" si="18">SUM(T34:T35)</f>
        <v>0</v>
      </c>
      <c r="U33" s="187">
        <f t="shared" si="18"/>
        <v>0</v>
      </c>
    </row>
    <row r="34" spans="1:21">
      <c r="A34" s="188"/>
      <c r="B34" s="189"/>
      <c r="C34" s="192" t="s">
        <v>16</v>
      </c>
      <c r="D34" s="190">
        <f t="shared" si="3"/>
        <v>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</row>
    <row r="35" spans="1:21">
      <c r="A35" s="188"/>
      <c r="B35" s="188"/>
      <c r="C35" s="105" t="s">
        <v>16</v>
      </c>
      <c r="D35" s="190">
        <f t="shared" si="3"/>
        <v>0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s="124" customFormat="1">
      <c r="A36" s="193" t="s">
        <v>167</v>
      </c>
      <c r="B36" s="193" t="s">
        <v>168</v>
      </c>
      <c r="C36" s="185" t="s">
        <v>16</v>
      </c>
      <c r="D36" s="186">
        <f t="shared" si="3"/>
        <v>0</v>
      </c>
      <c r="E36" s="186">
        <f>SUM(E37:E38)</f>
        <v>0</v>
      </c>
      <c r="F36" s="186">
        <f t="shared" ref="F36:H36" si="19">SUM(F37:F38)</f>
        <v>0</v>
      </c>
      <c r="G36" s="186">
        <f t="shared" si="19"/>
        <v>0</v>
      </c>
      <c r="H36" s="186">
        <f t="shared" si="19"/>
        <v>0</v>
      </c>
      <c r="I36" s="186">
        <f t="shared" ref="I36:S36" si="20">SUM(I37:I38)</f>
        <v>0</v>
      </c>
      <c r="J36" s="186">
        <f t="shared" si="20"/>
        <v>0</v>
      </c>
      <c r="K36" s="186">
        <f t="shared" si="20"/>
        <v>0</v>
      </c>
      <c r="L36" s="186">
        <f t="shared" si="20"/>
        <v>0</v>
      </c>
      <c r="M36" s="186">
        <f t="shared" si="20"/>
        <v>0</v>
      </c>
      <c r="N36" s="186">
        <f t="shared" si="20"/>
        <v>0</v>
      </c>
      <c r="O36" s="186">
        <f t="shared" si="20"/>
        <v>0</v>
      </c>
      <c r="P36" s="186">
        <f t="shared" si="20"/>
        <v>0</v>
      </c>
      <c r="Q36" s="186">
        <f t="shared" si="20"/>
        <v>0</v>
      </c>
      <c r="R36" s="186">
        <f t="shared" si="20"/>
        <v>0</v>
      </c>
      <c r="S36" s="186">
        <f t="shared" si="20"/>
        <v>0</v>
      </c>
      <c r="T36" s="186">
        <f t="shared" ref="T36:U36" si="21">SUM(T37:T38)</f>
        <v>0</v>
      </c>
      <c r="U36" s="186">
        <f t="shared" si="21"/>
        <v>0</v>
      </c>
    </row>
    <row r="37" spans="1:21">
      <c r="A37" s="188"/>
      <c r="B37" s="189"/>
      <c r="C37" s="105" t="s">
        <v>156</v>
      </c>
      <c r="D37" s="190">
        <f t="shared" si="3"/>
        <v>0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1:21">
      <c r="A38" s="188"/>
      <c r="B38" s="188"/>
      <c r="C38" s="105" t="s">
        <v>16</v>
      </c>
      <c r="D38" s="190">
        <f t="shared" si="3"/>
        <v>0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</row>
    <row r="39" spans="1:21">
      <c r="A39" s="193" t="s">
        <v>169</v>
      </c>
      <c r="B39" s="193" t="s">
        <v>170</v>
      </c>
      <c r="C39" s="185" t="s">
        <v>16</v>
      </c>
      <c r="D39" s="186">
        <f t="shared" si="3"/>
        <v>54921921.859999999</v>
      </c>
      <c r="E39" s="186">
        <f>E17+E36</f>
        <v>0</v>
      </c>
      <c r="F39" s="186">
        <f t="shared" ref="F39:H39" si="22">F17+F36</f>
        <v>0</v>
      </c>
      <c r="G39" s="186">
        <f t="shared" si="22"/>
        <v>0</v>
      </c>
      <c r="H39" s="186">
        <f t="shared" si="22"/>
        <v>0</v>
      </c>
      <c r="I39" s="186">
        <f t="shared" ref="I39:S39" si="23">I17+I36</f>
        <v>261670</v>
      </c>
      <c r="J39" s="186">
        <f t="shared" si="23"/>
        <v>54660251.859999999</v>
      </c>
      <c r="K39" s="186">
        <f t="shared" si="23"/>
        <v>0</v>
      </c>
      <c r="L39" s="186">
        <f t="shared" si="23"/>
        <v>0</v>
      </c>
      <c r="M39" s="186">
        <f t="shared" si="23"/>
        <v>0</v>
      </c>
      <c r="N39" s="186">
        <f t="shared" si="23"/>
        <v>0</v>
      </c>
      <c r="O39" s="186">
        <f t="shared" si="23"/>
        <v>0</v>
      </c>
      <c r="P39" s="186">
        <f t="shared" si="23"/>
        <v>0</v>
      </c>
      <c r="Q39" s="186">
        <f t="shared" si="23"/>
        <v>0</v>
      </c>
      <c r="R39" s="186">
        <f t="shared" si="23"/>
        <v>0</v>
      </c>
      <c r="S39" s="186">
        <f t="shared" si="23"/>
        <v>0</v>
      </c>
      <c r="T39" s="186">
        <f t="shared" ref="T39:U39" si="24">T17+T36</f>
        <v>0</v>
      </c>
      <c r="U39" s="186">
        <f t="shared" si="24"/>
        <v>0</v>
      </c>
    </row>
    <row r="40" spans="1:21">
      <c r="B40" s="124" t="s">
        <v>298</v>
      </c>
      <c r="C40" s="124"/>
      <c r="D40" s="187"/>
      <c r="E40" s="187"/>
      <c r="F40" s="187"/>
      <c r="G40" s="187"/>
      <c r="H40" s="187"/>
      <c r="I40" s="187"/>
      <c r="J40" s="187">
        <v>40614105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</row>
    <row r="41" spans="1:21">
      <c r="B41" s="124" t="s">
        <v>299</v>
      </c>
      <c r="C41" s="124"/>
      <c r="D41" s="187"/>
      <c r="E41" s="187"/>
      <c r="F41" s="187"/>
      <c r="G41" s="187"/>
      <c r="H41" s="187"/>
      <c r="I41" s="187"/>
      <c r="J41" s="187">
        <f>48750000*0.85</f>
        <v>41437500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</row>
    <row r="43" spans="1:21">
      <c r="B43" s="124" t="s">
        <v>234</v>
      </c>
    </row>
    <row r="44" spans="1:21">
      <c r="A44" s="194" t="s">
        <v>0</v>
      </c>
      <c r="B44" s="282" t="s">
        <v>25</v>
      </c>
      <c r="C44" s="282"/>
      <c r="D44" s="194" t="s">
        <v>13</v>
      </c>
      <c r="E44" s="194">
        <v>2012</v>
      </c>
      <c r="F44" s="194">
        <v>2013</v>
      </c>
      <c r="G44" s="194">
        <v>2014</v>
      </c>
      <c r="H44" s="194">
        <v>2015</v>
      </c>
    </row>
    <row r="45" spans="1:21">
      <c r="A45" s="179" t="s">
        <v>12</v>
      </c>
      <c r="B45" s="285" t="s">
        <v>26</v>
      </c>
      <c r="C45" s="285"/>
      <c r="D45" s="179" t="s">
        <v>27</v>
      </c>
      <c r="E45" s="179" t="s">
        <v>28</v>
      </c>
      <c r="F45" s="179" t="s">
        <v>139</v>
      </c>
      <c r="G45" s="179" t="s">
        <v>140</v>
      </c>
      <c r="H45" s="179" t="s">
        <v>141</v>
      </c>
    </row>
    <row r="46" spans="1:21">
      <c r="A46" s="180" t="s">
        <v>29</v>
      </c>
      <c r="B46" s="276" t="s">
        <v>30</v>
      </c>
      <c r="C46" s="276"/>
      <c r="D46" s="180" t="s">
        <v>16</v>
      </c>
      <c r="E46" s="195">
        <v>0</v>
      </c>
      <c r="F46" s="195">
        <v>0</v>
      </c>
      <c r="G46" s="196">
        <v>26002712.220000003</v>
      </c>
      <c r="H46" s="196">
        <v>27205780.789999999</v>
      </c>
    </row>
    <row r="47" spans="1:21">
      <c r="A47" s="194" t="s">
        <v>31</v>
      </c>
      <c r="B47" s="275" t="s">
        <v>32</v>
      </c>
      <c r="C47" s="275"/>
      <c r="D47" s="194" t="s">
        <v>16</v>
      </c>
      <c r="E47" s="197">
        <f>SUM(E48:E55)</f>
        <v>0</v>
      </c>
      <c r="F47" s="197">
        <f t="shared" ref="F47:G47" si="25">SUM(F48:F55)</f>
        <v>0</v>
      </c>
      <c r="G47" s="198">
        <f t="shared" si="25"/>
        <v>27299872.850000005</v>
      </c>
      <c r="H47" s="198">
        <f>SUM(H48:H55)</f>
        <v>28367797.769999992</v>
      </c>
    </row>
    <row r="48" spans="1:21">
      <c r="A48" s="179" t="s">
        <v>33</v>
      </c>
      <c r="B48" s="273" t="s">
        <v>34</v>
      </c>
      <c r="C48" s="273"/>
      <c r="D48" s="179" t="s">
        <v>16</v>
      </c>
      <c r="E48" s="199">
        <v>0</v>
      </c>
      <c r="F48" s="199">
        <v>0</v>
      </c>
      <c r="G48" s="200">
        <v>3973187.74</v>
      </c>
      <c r="H48" s="200">
        <v>4201288.25</v>
      </c>
    </row>
    <row r="49" spans="1:10">
      <c r="A49" s="179" t="s">
        <v>35</v>
      </c>
      <c r="B49" s="273" t="s">
        <v>36</v>
      </c>
      <c r="C49" s="273"/>
      <c r="D49" s="179" t="s">
        <v>16</v>
      </c>
      <c r="E49" s="199">
        <v>0</v>
      </c>
      <c r="F49" s="199">
        <v>0</v>
      </c>
      <c r="G49" s="200">
        <v>8656001.3100000005</v>
      </c>
      <c r="H49" s="200">
        <v>8540270.5199999996</v>
      </c>
    </row>
    <row r="50" spans="1:10">
      <c r="A50" s="179" t="s">
        <v>37</v>
      </c>
      <c r="B50" s="273" t="s">
        <v>38</v>
      </c>
      <c r="C50" s="273"/>
      <c r="D50" s="179" t="s">
        <v>16</v>
      </c>
      <c r="E50" s="199">
        <v>0</v>
      </c>
      <c r="F50" s="199">
        <v>0</v>
      </c>
      <c r="G50" s="200">
        <v>1128313.45</v>
      </c>
      <c r="H50" s="200">
        <v>1144741.03</v>
      </c>
    </row>
    <row r="51" spans="1:10">
      <c r="A51" s="179" t="s">
        <v>39</v>
      </c>
      <c r="B51" s="273" t="s">
        <v>40</v>
      </c>
      <c r="C51" s="273"/>
      <c r="D51" s="179" t="s">
        <v>16</v>
      </c>
      <c r="E51" s="199">
        <v>0</v>
      </c>
      <c r="F51" s="199">
        <v>0</v>
      </c>
      <c r="G51" s="200">
        <v>627907.80000000005</v>
      </c>
      <c r="H51" s="200">
        <v>698707.27</v>
      </c>
      <c r="I51" s="201"/>
      <c r="J51" s="201"/>
    </row>
    <row r="52" spans="1:10">
      <c r="A52" s="179" t="s">
        <v>41</v>
      </c>
      <c r="B52" s="273" t="s">
        <v>42</v>
      </c>
      <c r="C52" s="273"/>
      <c r="D52" s="179" t="s">
        <v>16</v>
      </c>
      <c r="E52" s="199">
        <v>0</v>
      </c>
      <c r="F52" s="199">
        <v>0</v>
      </c>
      <c r="G52" s="200">
        <v>9853369.5800000001</v>
      </c>
      <c r="H52" s="200">
        <v>10516152.199999999</v>
      </c>
      <c r="I52" s="201"/>
      <c r="J52" s="201"/>
    </row>
    <row r="53" spans="1:10">
      <c r="A53" s="179" t="s">
        <v>43</v>
      </c>
      <c r="B53" s="273" t="s">
        <v>44</v>
      </c>
      <c r="C53" s="273"/>
      <c r="D53" s="179" t="s">
        <v>16</v>
      </c>
      <c r="E53" s="199">
        <v>0</v>
      </c>
      <c r="F53" s="199">
        <v>0</v>
      </c>
      <c r="G53" s="200">
        <v>2549998.92</v>
      </c>
      <c r="H53" s="200">
        <v>2743581.93</v>
      </c>
    </row>
    <row r="54" spans="1:10">
      <c r="A54" s="179" t="s">
        <v>45</v>
      </c>
      <c r="B54" s="273" t="s">
        <v>46</v>
      </c>
      <c r="C54" s="273"/>
      <c r="D54" s="179" t="s">
        <v>16</v>
      </c>
      <c r="E54" s="199">
        <v>0</v>
      </c>
      <c r="F54" s="199">
        <v>0</v>
      </c>
      <c r="G54" s="200">
        <v>475043.17</v>
      </c>
      <c r="H54" s="200">
        <v>521958.83</v>
      </c>
    </row>
    <row r="55" spans="1:10">
      <c r="A55" s="179" t="s">
        <v>47</v>
      </c>
      <c r="B55" s="273" t="s">
        <v>48</v>
      </c>
      <c r="C55" s="273"/>
      <c r="D55" s="179" t="s">
        <v>16</v>
      </c>
      <c r="E55" s="199">
        <v>0</v>
      </c>
      <c r="F55" s="199">
        <v>0</v>
      </c>
      <c r="G55" s="200">
        <v>36050.879999999997</v>
      </c>
      <c r="H55" s="200">
        <v>1097.74</v>
      </c>
    </row>
    <row r="56" spans="1:10">
      <c r="A56" s="194" t="s">
        <v>49</v>
      </c>
      <c r="B56" s="275" t="s">
        <v>50</v>
      </c>
      <c r="C56" s="275"/>
      <c r="D56" s="194" t="s">
        <v>16</v>
      </c>
      <c r="E56" s="197">
        <f>E46-E47</f>
        <v>0</v>
      </c>
      <c r="F56" s="197">
        <f t="shared" ref="F56:G56" si="26">F46-F47</f>
        <v>0</v>
      </c>
      <c r="G56" s="198">
        <f t="shared" si="26"/>
        <v>-1297160.6300000027</v>
      </c>
      <c r="H56" s="198">
        <f>ROUND(H46-H47,2)</f>
        <v>-1162016.98</v>
      </c>
    </row>
    <row r="57" spans="1:10">
      <c r="A57" s="180" t="s">
        <v>51</v>
      </c>
      <c r="B57" s="276" t="s">
        <v>52</v>
      </c>
      <c r="C57" s="276"/>
      <c r="D57" s="180" t="s">
        <v>16</v>
      </c>
      <c r="E57" s="195">
        <v>0</v>
      </c>
      <c r="F57" s="195">
        <v>0</v>
      </c>
      <c r="G57" s="196">
        <v>2601378.09</v>
      </c>
      <c r="H57" s="196">
        <v>2825797.29</v>
      </c>
    </row>
    <row r="58" spans="1:10">
      <c r="A58" s="179" t="s">
        <v>10</v>
      </c>
      <c r="B58" s="273" t="s">
        <v>256</v>
      </c>
      <c r="C58" s="273"/>
      <c r="D58" s="179" t="s">
        <v>16</v>
      </c>
      <c r="E58" s="199">
        <v>0</v>
      </c>
      <c r="F58" s="199">
        <v>0</v>
      </c>
      <c r="G58" s="200">
        <v>0</v>
      </c>
      <c r="H58" s="200">
        <v>0</v>
      </c>
    </row>
    <row r="59" spans="1:10">
      <c r="A59" s="180" t="s">
        <v>53</v>
      </c>
      <c r="B59" s="276" t="s">
        <v>54</v>
      </c>
      <c r="C59" s="276"/>
      <c r="D59" s="180" t="s">
        <v>16</v>
      </c>
      <c r="E59" s="195">
        <v>0</v>
      </c>
      <c r="F59" s="195">
        <v>0</v>
      </c>
      <c r="G59" s="196">
        <v>707809.68</v>
      </c>
      <c r="H59" s="196">
        <v>1041245.8200000001</v>
      </c>
    </row>
    <row r="60" spans="1:10">
      <c r="A60" s="194" t="s">
        <v>55</v>
      </c>
      <c r="B60" s="275" t="s">
        <v>56</v>
      </c>
      <c r="C60" s="275"/>
      <c r="D60" s="194" t="s">
        <v>16</v>
      </c>
      <c r="E60" s="197">
        <f>E56+E57-E59</f>
        <v>0</v>
      </c>
      <c r="F60" s="197">
        <f>F56+F57-F59</f>
        <v>0</v>
      </c>
      <c r="G60" s="198">
        <f t="shared" ref="G60:H60" si="27">G56+G57-G59</f>
        <v>596407.77999999712</v>
      </c>
      <c r="H60" s="198">
        <f t="shared" si="27"/>
        <v>622534.49</v>
      </c>
    </row>
    <row r="61" spans="1:10">
      <c r="A61" s="180" t="s">
        <v>57</v>
      </c>
      <c r="B61" s="276" t="s">
        <v>58</v>
      </c>
      <c r="C61" s="276"/>
      <c r="D61" s="180" t="s">
        <v>16</v>
      </c>
      <c r="E61" s="195">
        <v>0</v>
      </c>
      <c r="F61" s="195">
        <v>0</v>
      </c>
      <c r="G61" s="196">
        <v>35093.21</v>
      </c>
      <c r="H61" s="196">
        <v>167585.85999999999</v>
      </c>
    </row>
    <row r="62" spans="1:10">
      <c r="A62" s="180" t="s">
        <v>59</v>
      </c>
      <c r="B62" s="276" t="s">
        <v>60</v>
      </c>
      <c r="C62" s="276"/>
      <c r="D62" s="180" t="s">
        <v>16</v>
      </c>
      <c r="E62" s="195">
        <v>0</v>
      </c>
      <c r="F62" s="195">
        <v>0</v>
      </c>
      <c r="G62" s="196">
        <v>135280.84</v>
      </c>
      <c r="H62" s="196">
        <v>97263.2</v>
      </c>
    </row>
    <row r="63" spans="1:10">
      <c r="A63" s="179" t="s">
        <v>10</v>
      </c>
      <c r="B63" s="284" t="s">
        <v>243</v>
      </c>
      <c r="C63" s="273"/>
      <c r="D63" s="179" t="s">
        <v>16</v>
      </c>
      <c r="E63" s="199">
        <v>0</v>
      </c>
      <c r="F63" s="199">
        <v>0</v>
      </c>
      <c r="G63" s="200">
        <v>0</v>
      </c>
      <c r="H63" s="200">
        <v>0</v>
      </c>
    </row>
    <row r="64" spans="1:10">
      <c r="A64" s="194" t="s">
        <v>1</v>
      </c>
      <c r="B64" s="275" t="s">
        <v>61</v>
      </c>
      <c r="C64" s="275"/>
      <c r="D64" s="194" t="s">
        <v>16</v>
      </c>
      <c r="E64" s="197">
        <f>E60+E61-E62</f>
        <v>0</v>
      </c>
      <c r="F64" s="197">
        <f>F60+F61-F62</f>
        <v>0</v>
      </c>
      <c r="G64" s="198">
        <f t="shared" ref="G64:H64" si="28">G60+G61-G62</f>
        <v>496220.14999999711</v>
      </c>
      <c r="H64" s="198">
        <f t="shared" si="28"/>
        <v>692857.15</v>
      </c>
    </row>
    <row r="65" spans="1:8">
      <c r="A65" s="180" t="s">
        <v>62</v>
      </c>
      <c r="B65" s="276" t="s">
        <v>63</v>
      </c>
      <c r="C65" s="276"/>
      <c r="D65" s="180" t="s">
        <v>16</v>
      </c>
      <c r="E65" s="195">
        <v>0</v>
      </c>
      <c r="F65" s="195">
        <v>0</v>
      </c>
      <c r="G65" s="196">
        <v>0</v>
      </c>
      <c r="H65" s="196">
        <v>0</v>
      </c>
    </row>
    <row r="66" spans="1:8">
      <c r="A66" s="194" t="s">
        <v>64</v>
      </c>
      <c r="B66" s="275" t="s">
        <v>65</v>
      </c>
      <c r="C66" s="275"/>
      <c r="D66" s="194" t="s">
        <v>16</v>
      </c>
      <c r="E66" s="197">
        <f>E64-E65</f>
        <v>0</v>
      </c>
      <c r="F66" s="197">
        <f>F64-F65</f>
        <v>0</v>
      </c>
      <c r="G66" s="198">
        <f t="shared" ref="G66:H66" si="29">G64-G65</f>
        <v>496220.14999999711</v>
      </c>
      <c r="H66" s="198">
        <f t="shared" si="29"/>
        <v>692857.15</v>
      </c>
    </row>
    <row r="67" spans="1:8">
      <c r="A67" s="180" t="s">
        <v>66</v>
      </c>
      <c r="B67" s="276" t="s">
        <v>67</v>
      </c>
      <c r="C67" s="276"/>
      <c r="D67" s="180" t="s">
        <v>16</v>
      </c>
      <c r="E67" s="195">
        <v>0</v>
      </c>
      <c r="F67" s="195">
        <v>0</v>
      </c>
      <c r="G67" s="196">
        <v>-30599</v>
      </c>
      <c r="H67" s="196">
        <v>171434</v>
      </c>
    </row>
    <row r="68" spans="1:8">
      <c r="A68" s="180" t="s">
        <v>68</v>
      </c>
      <c r="B68" s="276" t="s">
        <v>69</v>
      </c>
      <c r="C68" s="276"/>
      <c r="D68" s="180" t="s">
        <v>16</v>
      </c>
      <c r="E68" s="195">
        <v>0</v>
      </c>
      <c r="F68" s="195">
        <v>0</v>
      </c>
      <c r="G68" s="196">
        <v>0</v>
      </c>
      <c r="H68" s="196">
        <v>0</v>
      </c>
    </row>
    <row r="69" spans="1:8">
      <c r="A69" s="194" t="s">
        <v>70</v>
      </c>
      <c r="B69" s="275" t="s">
        <v>71</v>
      </c>
      <c r="C69" s="275"/>
      <c r="D69" s="194" t="s">
        <v>16</v>
      </c>
      <c r="E69" s="197">
        <f>E66-E67-E68</f>
        <v>0</v>
      </c>
      <c r="F69" s="197">
        <f>F66-F67-F68</f>
        <v>0</v>
      </c>
      <c r="G69" s="198">
        <f t="shared" ref="G69:H69" si="30">G66-G67-G68</f>
        <v>526819.14999999711</v>
      </c>
      <c r="H69" s="198">
        <f t="shared" si="30"/>
        <v>521423.15</v>
      </c>
    </row>
    <row r="72" spans="1:8">
      <c r="B72" s="124" t="s">
        <v>235</v>
      </c>
    </row>
    <row r="73" spans="1:8">
      <c r="A73" s="194" t="s">
        <v>0</v>
      </c>
      <c r="B73" s="282" t="s">
        <v>72</v>
      </c>
      <c r="C73" s="282"/>
      <c r="D73" s="194" t="s">
        <v>13</v>
      </c>
      <c r="E73" s="194">
        <v>2012</v>
      </c>
      <c r="F73" s="194">
        <v>2013</v>
      </c>
      <c r="G73" s="194">
        <v>2014</v>
      </c>
      <c r="H73" s="194">
        <v>2015</v>
      </c>
    </row>
    <row r="74" spans="1:8">
      <c r="A74" s="179" t="s">
        <v>12</v>
      </c>
      <c r="B74" s="285" t="s">
        <v>26</v>
      </c>
      <c r="C74" s="285"/>
      <c r="D74" s="179" t="s">
        <v>27</v>
      </c>
      <c r="E74" s="179" t="s">
        <v>28</v>
      </c>
      <c r="F74" s="179" t="s">
        <v>139</v>
      </c>
      <c r="G74" s="179" t="s">
        <v>140</v>
      </c>
      <c r="H74" s="179" t="s">
        <v>141</v>
      </c>
    </row>
    <row r="75" spans="1:8">
      <c r="A75" s="1" t="s">
        <v>10</v>
      </c>
      <c r="B75" s="286" t="s">
        <v>73</v>
      </c>
      <c r="C75" s="286"/>
      <c r="D75" s="202" t="s">
        <v>10</v>
      </c>
      <c r="E75" s="203" t="s">
        <v>10</v>
      </c>
      <c r="F75" s="203" t="s">
        <v>10</v>
      </c>
      <c r="G75" s="203" t="s">
        <v>10</v>
      </c>
      <c r="H75" s="203" t="s">
        <v>10</v>
      </c>
    </row>
    <row r="76" spans="1:8">
      <c r="A76" s="194" t="s">
        <v>29</v>
      </c>
      <c r="B76" s="275" t="s">
        <v>74</v>
      </c>
      <c r="C76" s="275"/>
      <c r="D76" s="194" t="s">
        <v>16</v>
      </c>
      <c r="E76" s="197">
        <f>E77+E78+E87+E88+E89</f>
        <v>0</v>
      </c>
      <c r="F76" s="197">
        <f t="shared" ref="F76:G76" si="31">F77+F78+F87+F88+F89</f>
        <v>0</v>
      </c>
      <c r="G76" s="198">
        <f t="shared" si="31"/>
        <v>23913242.34</v>
      </c>
      <c r="H76" s="198">
        <f t="shared" ref="H76" si="32">H77+H78+H87+H88+H89</f>
        <v>23837327.66</v>
      </c>
    </row>
    <row r="77" spans="1:8">
      <c r="A77" s="179" t="s">
        <v>33</v>
      </c>
      <c r="B77" s="273" t="s">
        <v>17</v>
      </c>
      <c r="C77" s="273"/>
      <c r="D77" s="179" t="s">
        <v>16</v>
      </c>
      <c r="E77" s="199">
        <v>0</v>
      </c>
      <c r="F77" s="199">
        <v>0</v>
      </c>
      <c r="G77" s="200">
        <v>4586.17</v>
      </c>
      <c r="H77" s="200">
        <v>0</v>
      </c>
    </row>
    <row r="78" spans="1:8">
      <c r="A78" s="179" t="s">
        <v>35</v>
      </c>
      <c r="B78" s="273" t="s">
        <v>75</v>
      </c>
      <c r="C78" s="273"/>
      <c r="D78" s="179" t="s">
        <v>16</v>
      </c>
      <c r="E78" s="199">
        <v>0</v>
      </c>
      <c r="F78" s="199">
        <v>0</v>
      </c>
      <c r="G78" s="200">
        <f>G79+G85+G86</f>
        <v>23681557.969999999</v>
      </c>
      <c r="H78" s="200">
        <f>H79+H85+H86</f>
        <v>23370161.489999998</v>
      </c>
    </row>
    <row r="79" spans="1:8">
      <c r="A79" s="179" t="s">
        <v>5</v>
      </c>
      <c r="B79" s="231" t="s">
        <v>244</v>
      </c>
      <c r="C79" s="232"/>
      <c r="D79" s="179" t="s">
        <v>16</v>
      </c>
      <c r="E79" s="199"/>
      <c r="F79" s="199"/>
      <c r="G79" s="200">
        <f>SUM(G80:G84)</f>
        <v>23579544.039999999</v>
      </c>
      <c r="H79" s="200">
        <f>SUM(H80:H84)</f>
        <v>23037460.199999999</v>
      </c>
    </row>
    <row r="80" spans="1:8">
      <c r="A80" s="204" t="s">
        <v>245</v>
      </c>
      <c r="B80" s="231" t="s">
        <v>252</v>
      </c>
      <c r="C80" s="232"/>
      <c r="D80" s="179" t="s">
        <v>16</v>
      </c>
      <c r="E80" s="199"/>
      <c r="F80" s="199"/>
      <c r="G80" s="200">
        <v>1367461.68</v>
      </c>
      <c r="H80" s="200">
        <v>1366502.78</v>
      </c>
    </row>
    <row r="81" spans="1:8">
      <c r="A81" s="204" t="s">
        <v>246</v>
      </c>
      <c r="B81" s="231" t="s">
        <v>184</v>
      </c>
      <c r="C81" s="232"/>
      <c r="D81" s="179" t="s">
        <v>16</v>
      </c>
      <c r="E81" s="199"/>
      <c r="F81" s="199"/>
      <c r="G81" s="200">
        <v>2419170.67</v>
      </c>
      <c r="H81" s="200">
        <v>2425665.69</v>
      </c>
    </row>
    <row r="82" spans="1:8">
      <c r="A82" s="204" t="s">
        <v>247</v>
      </c>
      <c r="B82" s="231" t="s">
        <v>185</v>
      </c>
      <c r="C82" s="232"/>
      <c r="D82" s="179" t="s">
        <v>16</v>
      </c>
      <c r="E82" s="199"/>
      <c r="F82" s="199"/>
      <c r="G82" s="200">
        <v>1609177.33</v>
      </c>
      <c r="H82" s="200">
        <v>1869402.35</v>
      </c>
    </row>
    <row r="83" spans="1:8">
      <c r="A83" s="204" t="s">
        <v>248</v>
      </c>
      <c r="B83" s="231" t="s">
        <v>186</v>
      </c>
      <c r="C83" s="232"/>
      <c r="D83" s="179" t="s">
        <v>16</v>
      </c>
      <c r="E83" s="199"/>
      <c r="F83" s="199"/>
      <c r="G83" s="200">
        <v>18082450.079999998</v>
      </c>
      <c r="H83" s="200">
        <v>17274901.239999998</v>
      </c>
    </row>
    <row r="84" spans="1:8">
      <c r="A84" s="204" t="s">
        <v>249</v>
      </c>
      <c r="B84" s="231" t="s">
        <v>187</v>
      </c>
      <c r="C84" s="232"/>
      <c r="D84" s="179" t="s">
        <v>16</v>
      </c>
      <c r="E84" s="199"/>
      <c r="F84" s="199"/>
      <c r="G84" s="200">
        <v>101284.28</v>
      </c>
      <c r="H84" s="200">
        <v>100988.14</v>
      </c>
    </row>
    <row r="85" spans="1:8">
      <c r="A85" s="179" t="s">
        <v>7</v>
      </c>
      <c r="B85" s="231" t="s">
        <v>251</v>
      </c>
      <c r="C85" s="232"/>
      <c r="D85" s="179" t="s">
        <v>16</v>
      </c>
      <c r="E85" s="199"/>
      <c r="F85" s="199"/>
      <c r="G85" s="200">
        <v>102013.93</v>
      </c>
      <c r="H85" s="200">
        <v>332701.28999999998</v>
      </c>
    </row>
    <row r="86" spans="1:8">
      <c r="A86" s="179" t="s">
        <v>8</v>
      </c>
      <c r="B86" s="273" t="s">
        <v>250</v>
      </c>
      <c r="C86" s="273"/>
      <c r="D86" s="179" t="s">
        <v>16</v>
      </c>
      <c r="E86" s="199">
        <v>0</v>
      </c>
      <c r="F86" s="199">
        <v>0</v>
      </c>
      <c r="G86" s="200">
        <v>0</v>
      </c>
      <c r="H86" s="200">
        <v>0</v>
      </c>
    </row>
    <row r="87" spans="1:8">
      <c r="A87" s="179" t="s">
        <v>37</v>
      </c>
      <c r="B87" s="273" t="s">
        <v>77</v>
      </c>
      <c r="C87" s="273"/>
      <c r="D87" s="179" t="s">
        <v>16</v>
      </c>
      <c r="E87" s="199">
        <v>0</v>
      </c>
      <c r="F87" s="199">
        <v>0</v>
      </c>
      <c r="G87" s="200">
        <v>0</v>
      </c>
      <c r="H87" s="200">
        <v>0</v>
      </c>
    </row>
    <row r="88" spans="1:8">
      <c r="A88" s="179" t="s">
        <v>39</v>
      </c>
      <c r="B88" s="273" t="s">
        <v>78</v>
      </c>
      <c r="C88" s="273"/>
      <c r="D88" s="179" t="s">
        <v>16</v>
      </c>
      <c r="E88" s="199">
        <v>0</v>
      </c>
      <c r="F88" s="199">
        <v>0</v>
      </c>
      <c r="G88" s="200">
        <v>226803.20000000001</v>
      </c>
      <c r="H88" s="200">
        <v>272000.17</v>
      </c>
    </row>
    <row r="89" spans="1:8">
      <c r="A89" s="179" t="s">
        <v>41</v>
      </c>
      <c r="B89" s="273" t="s">
        <v>79</v>
      </c>
      <c r="C89" s="273"/>
      <c r="D89" s="179" t="s">
        <v>16</v>
      </c>
      <c r="E89" s="199">
        <v>0</v>
      </c>
      <c r="F89" s="199">
        <v>0</v>
      </c>
      <c r="G89" s="200">
        <v>295</v>
      </c>
      <c r="H89" s="200">
        <v>195166</v>
      </c>
    </row>
    <row r="90" spans="1:8">
      <c r="A90" s="194" t="s">
        <v>31</v>
      </c>
      <c r="B90" s="275" t="s">
        <v>80</v>
      </c>
      <c r="C90" s="275"/>
      <c r="D90" s="194" t="s">
        <v>16</v>
      </c>
      <c r="E90" s="197">
        <f>E91+E92+E93+E95</f>
        <v>0</v>
      </c>
      <c r="F90" s="197">
        <f t="shared" ref="F90:G90" si="33">F91+F92+F93+F95</f>
        <v>0</v>
      </c>
      <c r="G90" s="198">
        <f t="shared" si="33"/>
        <v>10856483.720000001</v>
      </c>
      <c r="H90" s="198">
        <f t="shared" ref="H90" si="34">H91+H92+H93+H95</f>
        <v>3784435.66</v>
      </c>
    </row>
    <row r="91" spans="1:8">
      <c r="A91" s="179" t="s">
        <v>33</v>
      </c>
      <c r="B91" s="273" t="s">
        <v>81</v>
      </c>
      <c r="C91" s="273"/>
      <c r="D91" s="179" t="s">
        <v>16</v>
      </c>
      <c r="E91" s="199">
        <v>0</v>
      </c>
      <c r="F91" s="199">
        <v>0</v>
      </c>
      <c r="G91" s="200">
        <v>378307.21</v>
      </c>
      <c r="H91" s="200">
        <v>453375.11</v>
      </c>
    </row>
    <row r="92" spans="1:8">
      <c r="A92" s="179" t="s">
        <v>35</v>
      </c>
      <c r="B92" s="273" t="s">
        <v>82</v>
      </c>
      <c r="C92" s="273"/>
      <c r="D92" s="179" t="s">
        <v>16</v>
      </c>
      <c r="E92" s="199">
        <v>0</v>
      </c>
      <c r="F92" s="199">
        <v>0</v>
      </c>
      <c r="G92" s="200">
        <v>544631.76</v>
      </c>
      <c r="H92" s="200">
        <v>655206.07999999996</v>
      </c>
    </row>
    <row r="93" spans="1:8">
      <c r="A93" s="179" t="s">
        <v>37</v>
      </c>
      <c r="B93" s="273" t="s">
        <v>83</v>
      </c>
      <c r="C93" s="273"/>
      <c r="D93" s="179" t="s">
        <v>16</v>
      </c>
      <c r="E93" s="199">
        <v>0</v>
      </c>
      <c r="F93" s="199">
        <v>0</v>
      </c>
      <c r="G93" s="200">
        <v>9558616.0999999996</v>
      </c>
      <c r="H93" s="200">
        <v>2314415.75</v>
      </c>
    </row>
    <row r="94" spans="1:8">
      <c r="A94" s="179" t="s">
        <v>10</v>
      </c>
      <c r="B94" s="273" t="s">
        <v>84</v>
      </c>
      <c r="C94" s="273"/>
      <c r="D94" s="179" t="s">
        <v>16</v>
      </c>
      <c r="E94" s="199">
        <v>0</v>
      </c>
      <c r="F94" s="199">
        <v>0</v>
      </c>
      <c r="G94" s="200">
        <v>9558616.0999999996</v>
      </c>
      <c r="H94" s="200">
        <v>2314415.75</v>
      </c>
    </row>
    <row r="95" spans="1:8">
      <c r="A95" s="179" t="s">
        <v>39</v>
      </c>
      <c r="B95" s="273" t="s">
        <v>85</v>
      </c>
      <c r="C95" s="273"/>
      <c r="D95" s="179" t="s">
        <v>16</v>
      </c>
      <c r="E95" s="199">
        <v>0</v>
      </c>
      <c r="F95" s="199">
        <v>0</v>
      </c>
      <c r="G95" s="200">
        <v>374928.65</v>
      </c>
      <c r="H95" s="200">
        <v>361438.71999999997</v>
      </c>
    </row>
    <row r="96" spans="1:8">
      <c r="A96" s="194" t="s">
        <v>10</v>
      </c>
      <c r="B96" s="275" t="s">
        <v>86</v>
      </c>
      <c r="C96" s="275"/>
      <c r="D96" s="194" t="s">
        <v>16</v>
      </c>
      <c r="E96" s="197">
        <f>E76+E90</f>
        <v>0</v>
      </c>
      <c r="F96" s="197">
        <f t="shared" ref="F96:G96" si="35">F76+F90</f>
        <v>0</v>
      </c>
      <c r="G96" s="198">
        <f t="shared" si="35"/>
        <v>34769726.060000002</v>
      </c>
      <c r="H96" s="198">
        <f t="shared" ref="H96" si="36">H76+H90</f>
        <v>27621763.32</v>
      </c>
    </row>
    <row r="97" spans="1:8">
      <c r="A97" s="1" t="s">
        <v>10</v>
      </c>
      <c r="B97" s="286" t="s">
        <v>87</v>
      </c>
      <c r="C97" s="286"/>
      <c r="D97" s="205" t="s">
        <v>10</v>
      </c>
      <c r="E97" s="206">
        <f>E116-E96</f>
        <v>0</v>
      </c>
      <c r="F97" s="206">
        <f t="shared" ref="F97:H97" si="37">F116-F96</f>
        <v>0</v>
      </c>
      <c r="G97" s="207">
        <f t="shared" si="37"/>
        <v>0</v>
      </c>
      <c r="H97" s="207">
        <f t="shared" si="37"/>
        <v>0</v>
      </c>
    </row>
    <row r="98" spans="1:8">
      <c r="A98" s="194" t="s">
        <v>29</v>
      </c>
      <c r="B98" s="275" t="s">
        <v>88</v>
      </c>
      <c r="C98" s="275"/>
      <c r="D98" s="194" t="s">
        <v>16</v>
      </c>
      <c r="E98" s="197">
        <f>SUM(E99:E107)</f>
        <v>0</v>
      </c>
      <c r="F98" s="197">
        <f t="shared" ref="F98:G98" si="38">SUM(F99:F107)</f>
        <v>0</v>
      </c>
      <c r="G98" s="198">
        <f t="shared" si="38"/>
        <v>9097401.7799999956</v>
      </c>
      <c r="H98" s="198">
        <f t="shared" ref="H98" si="39">SUM(H99:H107)</f>
        <v>9618824.9299999997</v>
      </c>
    </row>
    <row r="99" spans="1:8">
      <c r="A99" s="179" t="s">
        <v>33</v>
      </c>
      <c r="B99" s="273" t="s">
        <v>89</v>
      </c>
      <c r="C99" s="273"/>
      <c r="D99" s="179" t="s">
        <v>16</v>
      </c>
      <c r="E99" s="199">
        <v>0</v>
      </c>
      <c r="F99" s="199">
        <v>0</v>
      </c>
      <c r="G99" s="200">
        <v>9940500</v>
      </c>
      <c r="H99" s="200">
        <v>9940500</v>
      </c>
    </row>
    <row r="100" spans="1:8">
      <c r="A100" s="179" t="s">
        <v>35</v>
      </c>
      <c r="B100" s="273" t="s">
        <v>90</v>
      </c>
      <c r="C100" s="273"/>
      <c r="D100" s="179" t="s">
        <v>16</v>
      </c>
      <c r="E100" s="199">
        <v>0</v>
      </c>
      <c r="F100" s="199">
        <v>0</v>
      </c>
      <c r="G100" s="200">
        <v>0</v>
      </c>
      <c r="H100" s="200">
        <v>0</v>
      </c>
    </row>
    <row r="101" spans="1:8">
      <c r="A101" s="179" t="s">
        <v>37</v>
      </c>
      <c r="B101" s="273" t="s">
        <v>91</v>
      </c>
      <c r="C101" s="273"/>
      <c r="D101" s="179" t="s">
        <v>16</v>
      </c>
      <c r="E101" s="199">
        <v>0</v>
      </c>
      <c r="F101" s="199">
        <v>0</v>
      </c>
      <c r="G101" s="200">
        <v>0</v>
      </c>
      <c r="H101" s="200">
        <v>0</v>
      </c>
    </row>
    <row r="102" spans="1:8">
      <c r="A102" s="179" t="s">
        <v>39</v>
      </c>
      <c r="B102" s="273" t="s">
        <v>92</v>
      </c>
      <c r="C102" s="273"/>
      <c r="D102" s="179" t="s">
        <v>16</v>
      </c>
      <c r="E102" s="199">
        <v>0</v>
      </c>
      <c r="F102" s="199">
        <v>0</v>
      </c>
      <c r="G102" s="200">
        <v>873.67</v>
      </c>
      <c r="H102" s="200">
        <v>873.67</v>
      </c>
    </row>
    <row r="103" spans="1:8">
      <c r="A103" s="179" t="s">
        <v>41</v>
      </c>
      <c r="B103" s="273" t="s">
        <v>93</v>
      </c>
      <c r="C103" s="273"/>
      <c r="D103" s="179" t="s">
        <v>16</v>
      </c>
      <c r="E103" s="199">
        <v>0</v>
      </c>
      <c r="F103" s="199">
        <v>0</v>
      </c>
      <c r="G103" s="200"/>
      <c r="H103" s="200"/>
    </row>
    <row r="104" spans="1:8">
      <c r="A104" s="179" t="s">
        <v>43</v>
      </c>
      <c r="B104" s="273" t="s">
        <v>94</v>
      </c>
      <c r="C104" s="273"/>
      <c r="D104" s="179" t="s">
        <v>16</v>
      </c>
      <c r="E104" s="199">
        <v>0</v>
      </c>
      <c r="F104" s="199">
        <v>0</v>
      </c>
      <c r="G104" s="200">
        <v>0</v>
      </c>
      <c r="H104" s="200">
        <v>0</v>
      </c>
    </row>
    <row r="105" spans="1:8">
      <c r="A105" s="179" t="s">
        <v>95</v>
      </c>
      <c r="B105" s="273" t="s">
        <v>96</v>
      </c>
      <c r="C105" s="273"/>
      <c r="D105" s="179" t="s">
        <v>16</v>
      </c>
      <c r="E105" s="199">
        <v>0</v>
      </c>
      <c r="F105" s="199">
        <v>0</v>
      </c>
      <c r="G105" s="200">
        <v>-1370791.04</v>
      </c>
      <c r="H105" s="200">
        <v>-843971.89</v>
      </c>
    </row>
    <row r="106" spans="1:8">
      <c r="A106" s="179" t="s">
        <v>47</v>
      </c>
      <c r="B106" s="273" t="s">
        <v>97</v>
      </c>
      <c r="C106" s="273"/>
      <c r="D106" s="179" t="s">
        <v>16</v>
      </c>
      <c r="E106" s="199">
        <v>0</v>
      </c>
      <c r="F106" s="199">
        <v>0</v>
      </c>
      <c r="G106" s="200">
        <f>G69</f>
        <v>526819.14999999711</v>
      </c>
      <c r="H106" s="200">
        <f>H69</f>
        <v>521423.15</v>
      </c>
    </row>
    <row r="107" spans="1:8">
      <c r="A107" s="179" t="s">
        <v>98</v>
      </c>
      <c r="B107" s="273" t="s">
        <v>99</v>
      </c>
      <c r="C107" s="273"/>
      <c r="D107" s="179" t="s">
        <v>16</v>
      </c>
      <c r="E107" s="199">
        <v>0</v>
      </c>
      <c r="F107" s="199">
        <v>0</v>
      </c>
      <c r="G107" s="200"/>
      <c r="H107" s="200">
        <v>0</v>
      </c>
    </row>
    <row r="108" spans="1:8">
      <c r="A108" s="194" t="s">
        <v>31</v>
      </c>
      <c r="B108" s="275" t="s">
        <v>100</v>
      </c>
      <c r="C108" s="275"/>
      <c r="D108" s="194" t="s">
        <v>16</v>
      </c>
      <c r="E108" s="197">
        <f>E109+E110+E112+E114</f>
        <v>0</v>
      </c>
      <c r="F108" s="197">
        <f t="shared" ref="F108:G108" si="40">F109+F110+F112+F114</f>
        <v>0</v>
      </c>
      <c r="G108" s="198">
        <f t="shared" si="40"/>
        <v>25672324.279999997</v>
      </c>
      <c r="H108" s="198">
        <f>H109+H110+H112+H114</f>
        <v>18002938.390000001</v>
      </c>
    </row>
    <row r="109" spans="1:8">
      <c r="A109" s="179" t="s">
        <v>33</v>
      </c>
      <c r="B109" s="273" t="s">
        <v>101</v>
      </c>
      <c r="C109" s="273"/>
      <c r="D109" s="179" t="s">
        <v>16</v>
      </c>
      <c r="E109" s="199">
        <v>0</v>
      </c>
      <c r="F109" s="199">
        <v>0</v>
      </c>
      <c r="G109" s="200">
        <v>92759.51</v>
      </c>
      <c r="H109" s="200">
        <v>275362.51</v>
      </c>
    </row>
    <row r="110" spans="1:8">
      <c r="A110" s="179" t="s">
        <v>35</v>
      </c>
      <c r="B110" s="273" t="s">
        <v>102</v>
      </c>
      <c r="C110" s="273"/>
      <c r="D110" s="179" t="s">
        <v>16</v>
      </c>
      <c r="E110" s="199">
        <v>0</v>
      </c>
      <c r="F110" s="199">
        <v>0</v>
      </c>
      <c r="G110" s="200">
        <v>3319214.43</v>
      </c>
      <c r="H110" s="200">
        <v>2554650.83</v>
      </c>
    </row>
    <row r="111" spans="1:8">
      <c r="A111" s="179" t="s">
        <v>10</v>
      </c>
      <c r="B111" s="284" t="s">
        <v>324</v>
      </c>
      <c r="C111" s="273"/>
      <c r="D111" s="179" t="s">
        <v>16</v>
      </c>
      <c r="E111" s="199">
        <v>0</v>
      </c>
      <c r="F111" s="199">
        <v>0</v>
      </c>
      <c r="G111" s="200">
        <v>0</v>
      </c>
      <c r="H111" s="200">
        <v>0</v>
      </c>
    </row>
    <row r="112" spans="1:8">
      <c r="A112" s="179" t="s">
        <v>37</v>
      </c>
      <c r="B112" s="273" t="s">
        <v>103</v>
      </c>
      <c r="C112" s="273"/>
      <c r="D112" s="179" t="s">
        <v>16</v>
      </c>
      <c r="E112" s="199">
        <v>0</v>
      </c>
      <c r="F112" s="199">
        <v>0</v>
      </c>
      <c r="G112" s="200">
        <v>11347526.799999999</v>
      </c>
      <c r="H112" s="200">
        <v>6097642.3899999997</v>
      </c>
    </row>
    <row r="113" spans="1:8">
      <c r="A113" s="179" t="s">
        <v>10</v>
      </c>
      <c r="B113" s="273" t="str">
        <f>B111</f>
        <v>`</v>
      </c>
      <c r="C113" s="273"/>
      <c r="D113" s="179" t="s">
        <v>16</v>
      </c>
      <c r="E113" s="199">
        <v>0</v>
      </c>
      <c r="F113" s="199">
        <v>0</v>
      </c>
      <c r="G113" s="200">
        <v>0</v>
      </c>
      <c r="H113" s="200">
        <v>0</v>
      </c>
    </row>
    <row r="114" spans="1:8">
      <c r="A114" s="179" t="s">
        <v>39</v>
      </c>
      <c r="B114" s="273" t="s">
        <v>104</v>
      </c>
      <c r="C114" s="273"/>
      <c r="D114" s="179" t="s">
        <v>16</v>
      </c>
      <c r="E114" s="199">
        <v>0</v>
      </c>
      <c r="F114" s="199">
        <v>0</v>
      </c>
      <c r="G114" s="200">
        <v>10912823.539999999</v>
      </c>
      <c r="H114" s="200">
        <v>9075282.6600000001</v>
      </c>
    </row>
    <row r="115" spans="1:8">
      <c r="A115" s="179" t="s">
        <v>10</v>
      </c>
      <c r="B115" s="284" t="s">
        <v>280</v>
      </c>
      <c r="C115" s="273"/>
      <c r="D115" s="179" t="s">
        <v>16</v>
      </c>
      <c r="E115" s="199">
        <v>0</v>
      </c>
      <c r="F115" s="199">
        <v>0</v>
      </c>
      <c r="G115" s="200">
        <v>0</v>
      </c>
      <c r="H115" s="200">
        <v>0</v>
      </c>
    </row>
    <row r="116" spans="1:8">
      <c r="A116" s="194" t="s">
        <v>10</v>
      </c>
      <c r="B116" s="275" t="s">
        <v>105</v>
      </c>
      <c r="C116" s="275"/>
      <c r="D116" s="194" t="s">
        <v>16</v>
      </c>
      <c r="E116" s="197">
        <f>E98+E108</f>
        <v>0</v>
      </c>
      <c r="F116" s="197">
        <f t="shared" ref="F116:G116" si="41">F98+F108</f>
        <v>0</v>
      </c>
      <c r="G116" s="198">
        <f t="shared" si="41"/>
        <v>34769726.059999995</v>
      </c>
      <c r="H116" s="198">
        <f t="shared" ref="H116" si="42">H98+H108</f>
        <v>27621763.32</v>
      </c>
    </row>
    <row r="119" spans="1:8">
      <c r="B119" s="124" t="s">
        <v>236</v>
      </c>
    </row>
    <row r="120" spans="1:8">
      <c r="A120" s="194" t="s">
        <v>0</v>
      </c>
      <c r="B120" s="282" t="s">
        <v>106</v>
      </c>
      <c r="C120" s="282"/>
      <c r="D120" s="194" t="s">
        <v>13</v>
      </c>
      <c r="E120" s="194">
        <v>2012</v>
      </c>
      <c r="F120" s="194">
        <v>2013</v>
      </c>
      <c r="G120" s="194">
        <v>2014</v>
      </c>
      <c r="H120" s="194">
        <v>2015</v>
      </c>
    </row>
    <row r="121" spans="1:8">
      <c r="A121" s="179" t="s">
        <v>12</v>
      </c>
      <c r="B121" s="285" t="s">
        <v>26</v>
      </c>
      <c r="C121" s="285"/>
      <c r="D121" s="179" t="s">
        <v>27</v>
      </c>
      <c r="E121" s="179" t="s">
        <v>28</v>
      </c>
      <c r="F121" s="179" t="s">
        <v>139</v>
      </c>
      <c r="G121" s="179" t="s">
        <v>140</v>
      </c>
      <c r="H121" s="179" t="s">
        <v>141</v>
      </c>
    </row>
    <row r="122" spans="1:8">
      <c r="A122" s="1" t="s">
        <v>29</v>
      </c>
      <c r="B122" s="208" t="s">
        <v>107</v>
      </c>
      <c r="C122" s="209"/>
      <c r="D122" s="209"/>
      <c r="E122" s="209"/>
      <c r="F122" s="209"/>
      <c r="G122" s="209"/>
      <c r="H122" s="209"/>
    </row>
    <row r="123" spans="1:8">
      <c r="A123" s="179" t="s">
        <v>33</v>
      </c>
      <c r="B123" s="273" t="s">
        <v>108</v>
      </c>
      <c r="C123" s="273"/>
      <c r="D123" s="179" t="s">
        <v>16</v>
      </c>
      <c r="E123" s="199">
        <f>E69</f>
        <v>0</v>
      </c>
      <c r="F123" s="199">
        <f t="shared" ref="F123:G123" si="43">F69</f>
        <v>0</v>
      </c>
      <c r="G123" s="200">
        <f t="shared" si="43"/>
        <v>526819.14999999711</v>
      </c>
      <c r="H123" s="200">
        <f>H69</f>
        <v>521423.15</v>
      </c>
    </row>
    <row r="124" spans="1:8">
      <c r="A124" s="194" t="s">
        <v>35</v>
      </c>
      <c r="B124" s="275" t="s">
        <v>109</v>
      </c>
      <c r="C124" s="275"/>
      <c r="D124" s="194" t="s">
        <v>16</v>
      </c>
      <c r="E124" s="197">
        <f>SUM(E125:E134)</f>
        <v>0</v>
      </c>
      <c r="F124" s="197">
        <f t="shared" ref="F124:G124" si="44">SUM(F125:F134)</f>
        <v>0</v>
      </c>
      <c r="G124" s="198">
        <f t="shared" si="44"/>
        <v>8905599.3300000019</v>
      </c>
      <c r="H124" s="198">
        <f t="shared" ref="H124" si="45">SUM(H125:H134)</f>
        <v>-4088595.6799999988</v>
      </c>
    </row>
    <row r="125" spans="1:8">
      <c r="A125" s="179" t="s">
        <v>5</v>
      </c>
      <c r="B125" s="273" t="s">
        <v>34</v>
      </c>
      <c r="C125" s="273"/>
      <c r="D125" s="179" t="s">
        <v>16</v>
      </c>
      <c r="E125" s="199">
        <v>0</v>
      </c>
      <c r="F125" s="199">
        <v>0</v>
      </c>
      <c r="G125" s="200">
        <f>G48</f>
        <v>3973187.74</v>
      </c>
      <c r="H125" s="200">
        <f>H48</f>
        <v>4201288.25</v>
      </c>
    </row>
    <row r="126" spans="1:8">
      <c r="A126" s="179" t="s">
        <v>7</v>
      </c>
      <c r="B126" s="273" t="s">
        <v>110</v>
      </c>
      <c r="C126" s="273"/>
      <c r="D126" s="179" t="s">
        <v>16</v>
      </c>
      <c r="E126" s="199">
        <v>0</v>
      </c>
      <c r="F126" s="199">
        <v>0</v>
      </c>
      <c r="G126" s="200">
        <v>851.66</v>
      </c>
      <c r="H126" s="200">
        <v>700.69</v>
      </c>
    </row>
    <row r="127" spans="1:8">
      <c r="A127" s="179" t="s">
        <v>8</v>
      </c>
      <c r="B127" s="273" t="s">
        <v>111</v>
      </c>
      <c r="C127" s="273"/>
      <c r="D127" s="179" t="s">
        <v>16</v>
      </c>
      <c r="E127" s="199">
        <v>0</v>
      </c>
      <c r="F127" s="199">
        <v>0</v>
      </c>
      <c r="G127" s="200">
        <v>99164.31</v>
      </c>
      <c r="H127" s="200">
        <v>-71092.25999999998</v>
      </c>
    </row>
    <row r="128" spans="1:8">
      <c r="A128" s="179" t="s">
        <v>9</v>
      </c>
      <c r="B128" s="273" t="s">
        <v>112</v>
      </c>
      <c r="C128" s="273"/>
      <c r="D128" s="179" t="s">
        <v>16</v>
      </c>
      <c r="E128" s="199">
        <v>0</v>
      </c>
      <c r="F128" s="199">
        <v>0</v>
      </c>
      <c r="G128" s="200">
        <v>-89161.69</v>
      </c>
      <c r="H128" s="200">
        <v>66377.25</v>
      </c>
    </row>
    <row r="129" spans="1:8">
      <c r="A129" s="179" t="s">
        <v>21</v>
      </c>
      <c r="B129" s="273" t="s">
        <v>113</v>
      </c>
      <c r="C129" s="273"/>
      <c r="D129" s="179" t="s">
        <v>16</v>
      </c>
      <c r="E129" s="199">
        <v>0</v>
      </c>
      <c r="F129" s="199">
        <v>0</v>
      </c>
      <c r="G129" s="200">
        <v>35960.300000000003</v>
      </c>
      <c r="H129" s="200">
        <v>182603</v>
      </c>
    </row>
    <row r="130" spans="1:8">
      <c r="A130" s="179" t="s">
        <v>23</v>
      </c>
      <c r="B130" s="273" t="s">
        <v>114</v>
      </c>
      <c r="C130" s="273"/>
      <c r="D130" s="179" t="s">
        <v>16</v>
      </c>
      <c r="E130" s="199">
        <v>0</v>
      </c>
      <c r="F130" s="199">
        <v>0</v>
      </c>
      <c r="G130" s="200">
        <v>82500.039999999994</v>
      </c>
      <c r="H130" s="200">
        <v>-75067.899999999965</v>
      </c>
    </row>
    <row r="131" spans="1:8">
      <c r="A131" s="179" t="s">
        <v>115</v>
      </c>
      <c r="B131" s="273" t="s">
        <v>116</v>
      </c>
      <c r="C131" s="273"/>
      <c r="D131" s="179" t="s">
        <v>16</v>
      </c>
      <c r="E131" s="199">
        <v>0</v>
      </c>
      <c r="F131" s="199">
        <v>0</v>
      </c>
      <c r="G131" s="200">
        <v>-198827.67</v>
      </c>
      <c r="H131" s="200">
        <v>-110574.31999999995</v>
      </c>
    </row>
    <row r="132" spans="1:8">
      <c r="A132" s="179" t="s">
        <v>117</v>
      </c>
      <c r="B132" s="273" t="s">
        <v>118</v>
      </c>
      <c r="C132" s="273"/>
      <c r="D132" s="179" t="s">
        <v>16</v>
      </c>
      <c r="E132" s="199">
        <v>0</v>
      </c>
      <c r="F132" s="199">
        <v>0</v>
      </c>
      <c r="G132" s="200">
        <v>7868352.5</v>
      </c>
      <c r="H132" s="200">
        <v>-5697614.5099999998</v>
      </c>
    </row>
    <row r="133" spans="1:8">
      <c r="A133" s="179" t="s">
        <v>119</v>
      </c>
      <c r="B133" s="273" t="s">
        <v>120</v>
      </c>
      <c r="C133" s="273"/>
      <c r="D133" s="179" t="s">
        <v>16</v>
      </c>
      <c r="E133" s="199">
        <v>0</v>
      </c>
      <c r="F133" s="199">
        <v>0</v>
      </c>
      <c r="G133" s="200">
        <v>-2286988.61</v>
      </c>
      <c r="H133" s="200">
        <v>-2018921.9499999993</v>
      </c>
    </row>
    <row r="134" spans="1:8">
      <c r="A134" s="179" t="s">
        <v>121</v>
      </c>
      <c r="B134" s="273" t="s">
        <v>122</v>
      </c>
      <c r="C134" s="273"/>
      <c r="D134" s="179" t="s">
        <v>16</v>
      </c>
      <c r="E134" s="199">
        <v>0</v>
      </c>
      <c r="F134" s="199">
        <v>0</v>
      </c>
      <c r="G134" s="200">
        <v>-579439.25</v>
      </c>
      <c r="H134" s="200">
        <v>-566293.92999999993</v>
      </c>
    </row>
    <row r="135" spans="1:8">
      <c r="A135" s="194" t="s">
        <v>37</v>
      </c>
      <c r="B135" s="275" t="s">
        <v>123</v>
      </c>
      <c r="C135" s="275"/>
      <c r="D135" s="194" t="s">
        <v>16</v>
      </c>
      <c r="E135" s="197">
        <f>E123+E124</f>
        <v>0</v>
      </c>
      <c r="F135" s="197">
        <f t="shared" ref="F135:G135" si="46">F123+F124</f>
        <v>0</v>
      </c>
      <c r="G135" s="198">
        <f t="shared" si="46"/>
        <v>9432418.4799999986</v>
      </c>
      <c r="H135" s="198">
        <f t="shared" ref="H135" si="47">H123+H124</f>
        <v>-3567172.5299999989</v>
      </c>
    </row>
    <row r="136" spans="1:8">
      <c r="A136" s="1" t="s">
        <v>31</v>
      </c>
      <c r="B136" s="210" t="s">
        <v>124</v>
      </c>
      <c r="C136" s="210"/>
      <c r="D136" s="210"/>
      <c r="E136" s="211"/>
      <c r="F136" s="211"/>
      <c r="G136" s="212"/>
      <c r="H136" s="212"/>
    </row>
    <row r="137" spans="1:8">
      <c r="A137" s="179" t="s">
        <v>33</v>
      </c>
      <c r="B137" s="273" t="s">
        <v>125</v>
      </c>
      <c r="C137" s="273"/>
      <c r="D137" s="179" t="s">
        <v>16</v>
      </c>
      <c r="E137" s="199">
        <v>0</v>
      </c>
      <c r="F137" s="199">
        <v>0</v>
      </c>
      <c r="G137" s="200">
        <v>91044.81</v>
      </c>
      <c r="H137" s="200">
        <v>109467.91</v>
      </c>
    </row>
    <row r="138" spans="1:8">
      <c r="A138" s="179" t="s">
        <v>35</v>
      </c>
      <c r="B138" s="273" t="s">
        <v>126</v>
      </c>
      <c r="C138" s="273"/>
      <c r="D138" s="179" t="s">
        <v>16</v>
      </c>
      <c r="E138" s="199">
        <v>0</v>
      </c>
      <c r="F138" s="199">
        <v>0</v>
      </c>
      <c r="G138" s="200">
        <v>1126410.1000000001</v>
      </c>
      <c r="H138" s="200">
        <v>4707464.1499999994</v>
      </c>
    </row>
    <row r="139" spans="1:8">
      <c r="A139" s="179" t="s">
        <v>10</v>
      </c>
      <c r="B139" s="273" t="s">
        <v>76</v>
      </c>
      <c r="C139" s="273"/>
      <c r="D139" s="179" t="s">
        <v>16</v>
      </c>
      <c r="E139" s="199">
        <v>0</v>
      </c>
      <c r="F139" s="199">
        <v>0</v>
      </c>
      <c r="G139" s="200">
        <v>0</v>
      </c>
      <c r="H139" s="200">
        <v>0</v>
      </c>
    </row>
    <row r="140" spans="1:8">
      <c r="A140" s="194" t="s">
        <v>37</v>
      </c>
      <c r="B140" s="275" t="s">
        <v>127</v>
      </c>
      <c r="C140" s="275"/>
      <c r="D140" s="194" t="s">
        <v>16</v>
      </c>
      <c r="E140" s="197">
        <f>E137-E138</f>
        <v>0</v>
      </c>
      <c r="F140" s="197">
        <f t="shared" ref="F140:G140" si="48">F137-F138</f>
        <v>0</v>
      </c>
      <c r="G140" s="198">
        <f t="shared" si="48"/>
        <v>-1035365.29</v>
      </c>
      <c r="H140" s="198">
        <f t="shared" ref="H140" si="49">H137-H138</f>
        <v>-4597996.2399999993</v>
      </c>
    </row>
    <row r="141" spans="1:8">
      <c r="A141" s="1" t="s">
        <v>49</v>
      </c>
      <c r="B141" s="210" t="s">
        <v>128</v>
      </c>
      <c r="C141" s="210"/>
      <c r="D141" s="210"/>
      <c r="E141" s="211"/>
      <c r="F141" s="211"/>
      <c r="G141" s="212"/>
      <c r="H141" s="212"/>
    </row>
    <row r="142" spans="1:8">
      <c r="A142" s="179" t="s">
        <v>33</v>
      </c>
      <c r="B142" s="273" t="s">
        <v>129</v>
      </c>
      <c r="C142" s="273"/>
      <c r="D142" s="179" t="s">
        <v>16</v>
      </c>
      <c r="E142" s="199">
        <v>0</v>
      </c>
      <c r="F142" s="199">
        <v>0</v>
      </c>
      <c r="G142" s="200">
        <v>0</v>
      </c>
      <c r="H142" s="200">
        <v>1767585.8599999999</v>
      </c>
    </row>
    <row r="143" spans="1:8">
      <c r="A143" s="179" t="s">
        <v>10</v>
      </c>
      <c r="B143" s="284" t="s">
        <v>293</v>
      </c>
      <c r="C143" s="273"/>
      <c r="D143" s="179" t="s">
        <v>16</v>
      </c>
      <c r="E143" s="199">
        <v>0</v>
      </c>
      <c r="F143" s="199">
        <v>0</v>
      </c>
      <c r="G143" s="200">
        <v>0</v>
      </c>
      <c r="H143" s="200">
        <v>0</v>
      </c>
    </row>
    <row r="144" spans="1:8">
      <c r="A144" s="179"/>
      <c r="B144" s="213" t="s">
        <v>254</v>
      </c>
      <c r="C144" s="232"/>
      <c r="D144" s="179" t="s">
        <v>16</v>
      </c>
      <c r="E144" s="199"/>
      <c r="F144" s="199"/>
      <c r="G144" s="200">
        <v>0</v>
      </c>
      <c r="H144" s="200">
        <v>0</v>
      </c>
    </row>
    <row r="145" spans="1:8">
      <c r="A145" s="179" t="s">
        <v>35</v>
      </c>
      <c r="B145" s="273" t="s">
        <v>130</v>
      </c>
      <c r="C145" s="273"/>
      <c r="D145" s="179" t="s">
        <v>16</v>
      </c>
      <c r="E145" s="199">
        <v>0</v>
      </c>
      <c r="F145" s="199">
        <v>0</v>
      </c>
      <c r="G145" s="200">
        <v>1409551.4</v>
      </c>
      <c r="H145" s="200">
        <v>846617.44</v>
      </c>
    </row>
    <row r="146" spans="1:8">
      <c r="A146" s="179" t="s">
        <v>10</v>
      </c>
      <c r="B146" s="273" t="s">
        <v>131</v>
      </c>
      <c r="C146" s="273"/>
      <c r="D146" s="179" t="s">
        <v>16</v>
      </c>
      <c r="E146" s="199">
        <v>0</v>
      </c>
      <c r="F146" s="199">
        <v>0</v>
      </c>
      <c r="G146" s="200">
        <v>833038.35</v>
      </c>
      <c r="H146" s="200">
        <v>401810.5</v>
      </c>
    </row>
    <row r="147" spans="1:8">
      <c r="A147" s="179" t="s">
        <v>10</v>
      </c>
      <c r="B147" s="284" t="s">
        <v>254</v>
      </c>
      <c r="C147" s="273"/>
      <c r="D147" s="179" t="s">
        <v>16</v>
      </c>
      <c r="E147" s="199">
        <v>0</v>
      </c>
      <c r="F147" s="199">
        <v>0</v>
      </c>
      <c r="G147" s="200">
        <v>0</v>
      </c>
      <c r="H147" s="200">
        <v>0</v>
      </c>
    </row>
    <row r="148" spans="1:8">
      <c r="A148" s="179" t="s">
        <v>10</v>
      </c>
      <c r="B148" s="273" t="s">
        <v>132</v>
      </c>
      <c r="C148" s="273"/>
      <c r="D148" s="179" t="s">
        <v>16</v>
      </c>
      <c r="E148" s="199">
        <v>0</v>
      </c>
      <c r="F148" s="199">
        <v>0</v>
      </c>
      <c r="G148" s="200">
        <v>99164.31</v>
      </c>
      <c r="H148" s="200">
        <v>71092.25999999998</v>
      </c>
    </row>
    <row r="149" spans="1:8">
      <c r="A149" s="179" t="s">
        <v>10</v>
      </c>
      <c r="B149" s="284" t="s">
        <v>255</v>
      </c>
      <c r="C149" s="273"/>
      <c r="D149" s="179" t="s">
        <v>16</v>
      </c>
      <c r="E149" s="199">
        <v>0</v>
      </c>
      <c r="F149" s="199">
        <v>0</v>
      </c>
      <c r="G149" s="200">
        <v>0</v>
      </c>
      <c r="H149" s="200">
        <v>0</v>
      </c>
    </row>
    <row r="150" spans="1:8">
      <c r="A150" s="194" t="s">
        <v>37</v>
      </c>
      <c r="B150" s="275" t="s">
        <v>133</v>
      </c>
      <c r="C150" s="275"/>
      <c r="D150" s="194" t="s">
        <v>16</v>
      </c>
      <c r="E150" s="197">
        <f>E142-E145</f>
        <v>0</v>
      </c>
      <c r="F150" s="197">
        <f t="shared" ref="F150:H150" si="50">F142-F145</f>
        <v>0</v>
      </c>
      <c r="G150" s="198">
        <f t="shared" si="50"/>
        <v>-1409551.4</v>
      </c>
      <c r="H150" s="198">
        <f t="shared" si="50"/>
        <v>920968.41999999993</v>
      </c>
    </row>
    <row r="151" spans="1:8">
      <c r="A151" s="194" t="s">
        <v>51</v>
      </c>
      <c r="B151" s="275" t="s">
        <v>134</v>
      </c>
      <c r="C151" s="275"/>
      <c r="D151" s="194" t="s">
        <v>16</v>
      </c>
      <c r="E151" s="197">
        <f>E135++E140+E150</f>
        <v>0</v>
      </c>
      <c r="F151" s="197">
        <f t="shared" ref="F151:H151" si="51">F135++F140+F150</f>
        <v>0</v>
      </c>
      <c r="G151" s="198">
        <f t="shared" si="51"/>
        <v>6987501.7899999972</v>
      </c>
      <c r="H151" s="198">
        <f t="shared" si="51"/>
        <v>-7244200.3499999978</v>
      </c>
    </row>
    <row r="152" spans="1:8">
      <c r="A152" s="179" t="s">
        <v>53</v>
      </c>
      <c r="B152" s="273" t="s">
        <v>135</v>
      </c>
      <c r="C152" s="273"/>
      <c r="D152" s="179" t="s">
        <v>16</v>
      </c>
      <c r="E152" s="199">
        <v>0</v>
      </c>
      <c r="F152" s="199">
        <v>0</v>
      </c>
      <c r="G152" s="200">
        <v>6987501.7899999972</v>
      </c>
      <c r="H152" s="200">
        <v>-7244200.3499999996</v>
      </c>
    </row>
    <row r="153" spans="1:8">
      <c r="A153" s="179" t="s">
        <v>55</v>
      </c>
      <c r="B153" s="273" t="s">
        <v>136</v>
      </c>
      <c r="C153" s="273"/>
      <c r="D153" s="179" t="s">
        <v>16</v>
      </c>
      <c r="E153" s="199">
        <v>0</v>
      </c>
      <c r="F153" s="199">
        <f>E154</f>
        <v>0</v>
      </c>
      <c r="G153" s="200">
        <v>2571114.31</v>
      </c>
      <c r="H153" s="200">
        <v>9558616.0999999996</v>
      </c>
    </row>
    <row r="154" spans="1:8">
      <c r="A154" s="194" t="s">
        <v>57</v>
      </c>
      <c r="B154" s="275" t="s">
        <v>137</v>
      </c>
      <c r="C154" s="275"/>
      <c r="D154" s="194" t="s">
        <v>16</v>
      </c>
      <c r="E154" s="197">
        <f>E153+E151</f>
        <v>0</v>
      </c>
      <c r="F154" s="197">
        <f t="shared" ref="F154:H154" si="52">F153+F151</f>
        <v>0</v>
      </c>
      <c r="G154" s="198">
        <f t="shared" si="52"/>
        <v>9558616.0999999978</v>
      </c>
      <c r="H154" s="198">
        <f t="shared" si="52"/>
        <v>2314415.7500000019</v>
      </c>
    </row>
    <row r="155" spans="1:8" s="254" customFormat="1" ht="13.8"/>
    <row r="156" spans="1:8" s="214" customFormat="1" ht="9.6">
      <c r="B156" s="215" t="s">
        <v>309</v>
      </c>
      <c r="E156" s="216" t="b">
        <f>E94=E154</f>
        <v>1</v>
      </c>
      <c r="F156" s="216" t="b">
        <f t="shared" ref="F156:H156" si="53">F94=F154</f>
        <v>1</v>
      </c>
      <c r="G156" s="216" t="b">
        <f t="shared" si="53"/>
        <v>1</v>
      </c>
      <c r="H156" s="216" t="b">
        <f t="shared" si="53"/>
        <v>1</v>
      </c>
    </row>
    <row r="157" spans="1:8">
      <c r="E157" s="191">
        <f>E93-E154</f>
        <v>0</v>
      </c>
      <c r="F157" s="191">
        <f t="shared" ref="F157:H157" si="54">F93-F154</f>
        <v>0</v>
      </c>
      <c r="G157" s="191">
        <f t="shared" si="54"/>
        <v>0</v>
      </c>
      <c r="H157" s="191">
        <f t="shared" si="54"/>
        <v>0</v>
      </c>
    </row>
    <row r="158" spans="1:8">
      <c r="A158" s="18"/>
      <c r="B158" s="217" t="s">
        <v>208</v>
      </c>
      <c r="C158" s="19"/>
      <c r="D158" s="20"/>
      <c r="E158" s="20"/>
      <c r="F158" s="20"/>
    </row>
    <row r="159" spans="1:8" ht="40.799999999999997">
      <c r="A159" s="30" t="s">
        <v>0</v>
      </c>
      <c r="B159" s="31" t="s">
        <v>4</v>
      </c>
      <c r="C159" s="31" t="s">
        <v>181</v>
      </c>
      <c r="D159" s="32" t="s">
        <v>264</v>
      </c>
      <c r="E159" s="32" t="s">
        <v>205</v>
      </c>
      <c r="F159" s="31" t="s">
        <v>206</v>
      </c>
    </row>
    <row r="160" spans="1:8">
      <c r="A160" s="21">
        <v>1</v>
      </c>
      <c r="B160" s="22" t="s">
        <v>182</v>
      </c>
      <c r="C160" s="23" t="s">
        <v>16</v>
      </c>
      <c r="D160" s="47">
        <v>0</v>
      </c>
      <c r="E160" s="47">
        <f>100/20</f>
        <v>5</v>
      </c>
      <c r="F160" s="47">
        <f>ROUND(D160/E160,0)</f>
        <v>0</v>
      </c>
    </row>
    <row r="161" spans="1:8">
      <c r="A161" s="21">
        <v>2</v>
      </c>
      <c r="B161" s="22" t="s">
        <v>183</v>
      </c>
      <c r="C161" s="23" t="s">
        <v>16</v>
      </c>
      <c r="D161" s="47">
        <v>1375520.29</v>
      </c>
      <c r="E161" s="47">
        <v>0</v>
      </c>
      <c r="F161" s="47">
        <v>958.9</v>
      </c>
      <c r="G161" s="201">
        <f>F161/D161</f>
        <v>6.9711803378778219E-4</v>
      </c>
    </row>
    <row r="162" spans="1:8">
      <c r="A162" s="21">
        <v>3</v>
      </c>
      <c r="B162" s="22" t="s">
        <v>184</v>
      </c>
      <c r="C162" s="23" t="s">
        <v>16</v>
      </c>
      <c r="D162" s="47">
        <v>6364399.46</v>
      </c>
      <c r="E162" s="47">
        <f>100/2</f>
        <v>50</v>
      </c>
      <c r="F162" s="47">
        <v>125383.84</v>
      </c>
      <c r="G162" s="201">
        <f t="shared" ref="G162:G165" si="55">F162/D162</f>
        <v>1.9700812431405743E-2</v>
      </c>
    </row>
    <row r="163" spans="1:8">
      <c r="A163" s="21">
        <v>4</v>
      </c>
      <c r="B163" s="22" t="s">
        <v>185</v>
      </c>
      <c r="C163" s="23" t="s">
        <v>16</v>
      </c>
      <c r="D163" s="47">
        <v>4777999.88</v>
      </c>
      <c r="E163" s="47">
        <f>100/10</f>
        <v>10</v>
      </c>
      <c r="F163" s="47">
        <v>475769.74</v>
      </c>
      <c r="G163" s="201">
        <f t="shared" si="55"/>
        <v>9.9575084124949795E-2</v>
      </c>
    </row>
    <row r="164" spans="1:8">
      <c r="A164" s="21">
        <v>5</v>
      </c>
      <c r="B164" s="22" t="s">
        <v>186</v>
      </c>
      <c r="C164" s="23" t="s">
        <v>16</v>
      </c>
      <c r="D164" s="47">
        <v>38148430.109999999</v>
      </c>
      <c r="E164" s="47">
        <v>10.6</v>
      </c>
      <c r="F164" s="47">
        <v>3561056.34</v>
      </c>
      <c r="G164" s="201">
        <f t="shared" si="55"/>
        <v>9.3347388863232045E-2</v>
      </c>
    </row>
    <row r="165" spans="1:8" ht="10.8" thickBot="1">
      <c r="A165" s="24">
        <v>6</v>
      </c>
      <c r="B165" s="25" t="s">
        <v>187</v>
      </c>
      <c r="C165" s="26" t="s">
        <v>16</v>
      </c>
      <c r="D165" s="48">
        <f>507576.95+332701.29</f>
        <v>840278.24</v>
      </c>
      <c r="E165" s="48">
        <f>100/20</f>
        <v>5</v>
      </c>
      <c r="F165" s="48">
        <f>ROUND(D165/E165,0)</f>
        <v>168056</v>
      </c>
      <c r="G165" s="201">
        <f t="shared" si="55"/>
        <v>0.20000041890886047</v>
      </c>
    </row>
    <row r="166" spans="1:8" ht="10.8" thickBot="1">
      <c r="A166" s="27">
        <v>7</v>
      </c>
      <c r="B166" s="28" t="s">
        <v>2</v>
      </c>
      <c r="C166" s="84" t="s">
        <v>16</v>
      </c>
      <c r="D166" s="49">
        <f>SUM(D160:D165)</f>
        <v>51506627.979999997</v>
      </c>
      <c r="E166" s="29"/>
      <c r="F166" s="218">
        <f>SUM(F160:F165)</f>
        <v>4331224.82</v>
      </c>
    </row>
    <row r="169" spans="1:8">
      <c r="B169" s="124" t="s">
        <v>207</v>
      </c>
    </row>
    <row r="170" spans="1:8">
      <c r="A170" s="194" t="s">
        <v>0</v>
      </c>
      <c r="B170" s="275" t="s">
        <v>4</v>
      </c>
      <c r="C170" s="277"/>
      <c r="D170" s="219" t="s">
        <v>13</v>
      </c>
      <c r="E170" s="194">
        <v>2012</v>
      </c>
      <c r="F170" s="194">
        <v>2013</v>
      </c>
      <c r="G170" s="194">
        <v>2014</v>
      </c>
      <c r="H170" s="194">
        <v>2015</v>
      </c>
    </row>
    <row r="171" spans="1:8">
      <c r="A171" s="220" t="s">
        <v>5</v>
      </c>
      <c r="B171" s="273" t="s">
        <v>17</v>
      </c>
      <c r="C171" s="273"/>
      <c r="D171" s="179" t="s">
        <v>16</v>
      </c>
      <c r="E171" s="221">
        <f>Założenia!E77</f>
        <v>0</v>
      </c>
      <c r="F171" s="221">
        <f>Założenia!F77</f>
        <v>0</v>
      </c>
      <c r="G171" s="221">
        <f>Założenia!G77</f>
        <v>4586.17</v>
      </c>
      <c r="H171" s="221">
        <f>Założenia!H77</f>
        <v>0</v>
      </c>
    </row>
    <row r="172" spans="1:8">
      <c r="A172" s="220" t="s">
        <v>7</v>
      </c>
      <c r="B172" s="273" t="s">
        <v>18</v>
      </c>
      <c r="C172" s="273"/>
      <c r="D172" s="179" t="s">
        <v>16</v>
      </c>
      <c r="E172" s="221">
        <v>0</v>
      </c>
      <c r="F172" s="221">
        <v>0</v>
      </c>
      <c r="G172" s="221">
        <f t="shared" ref="G172:H175" si="56">G80</f>
        <v>1367461.68</v>
      </c>
      <c r="H172" s="221">
        <f t="shared" si="56"/>
        <v>1366502.78</v>
      </c>
    </row>
    <row r="173" spans="1:8">
      <c r="A173" s="220" t="s">
        <v>8</v>
      </c>
      <c r="B173" s="273" t="s">
        <v>19</v>
      </c>
      <c r="C173" s="273"/>
      <c r="D173" s="179" t="s">
        <v>16</v>
      </c>
      <c r="E173" s="221">
        <v>0</v>
      </c>
      <c r="F173" s="221">
        <v>0</v>
      </c>
      <c r="G173" s="221">
        <f t="shared" si="56"/>
        <v>2419170.67</v>
      </c>
      <c r="H173" s="221">
        <f t="shared" si="56"/>
        <v>2425665.69</v>
      </c>
    </row>
    <row r="174" spans="1:8">
      <c r="A174" s="220" t="s">
        <v>9</v>
      </c>
      <c r="B174" s="273" t="s">
        <v>20</v>
      </c>
      <c r="C174" s="273"/>
      <c r="D174" s="179" t="s">
        <v>16</v>
      </c>
      <c r="E174" s="221">
        <v>0</v>
      </c>
      <c r="F174" s="221">
        <v>0</v>
      </c>
      <c r="G174" s="221">
        <f t="shared" si="56"/>
        <v>1609177.33</v>
      </c>
      <c r="H174" s="221">
        <f t="shared" si="56"/>
        <v>1869402.35</v>
      </c>
    </row>
    <row r="175" spans="1:8">
      <c r="A175" s="220" t="s">
        <v>21</v>
      </c>
      <c r="B175" s="273" t="s">
        <v>22</v>
      </c>
      <c r="C175" s="273"/>
      <c r="D175" s="179" t="s">
        <v>16</v>
      </c>
      <c r="E175" s="221">
        <v>0</v>
      </c>
      <c r="F175" s="221">
        <v>0</v>
      </c>
      <c r="G175" s="221">
        <f t="shared" si="56"/>
        <v>18082450.079999998</v>
      </c>
      <c r="H175" s="221">
        <f t="shared" si="56"/>
        <v>17274901.239999998</v>
      </c>
    </row>
    <row r="176" spans="1:8">
      <c r="A176" s="220" t="s">
        <v>23</v>
      </c>
      <c r="B176" s="273" t="s">
        <v>24</v>
      </c>
      <c r="C176" s="273"/>
      <c r="D176" s="179" t="s">
        <v>16</v>
      </c>
      <c r="E176" s="221">
        <v>0</v>
      </c>
      <c r="F176" s="221">
        <v>0</v>
      </c>
      <c r="G176" s="221">
        <f>G84+G85</f>
        <v>203298.21</v>
      </c>
      <c r="H176" s="221">
        <f>H84+H85</f>
        <v>433689.43</v>
      </c>
    </row>
    <row r="177" spans="1:21">
      <c r="A177" s="222"/>
      <c r="B177" s="222"/>
      <c r="C177" s="222"/>
      <c r="D177" s="223"/>
      <c r="E177" s="224"/>
      <c r="F177" s="224"/>
      <c r="G177" s="224"/>
    </row>
    <row r="178" spans="1:21">
      <c r="A178" s="222"/>
      <c r="B178" s="222"/>
      <c r="C178" s="222"/>
      <c r="D178" s="223"/>
      <c r="E178" s="224"/>
      <c r="F178" s="224"/>
      <c r="G178" s="224"/>
    </row>
    <row r="179" spans="1:21">
      <c r="B179" s="124" t="s">
        <v>237</v>
      </c>
    </row>
    <row r="180" spans="1:21">
      <c r="A180" s="194" t="s">
        <v>0</v>
      </c>
      <c r="B180" s="275" t="s">
        <v>4</v>
      </c>
      <c r="C180" s="277"/>
      <c r="D180" s="219" t="s">
        <v>13</v>
      </c>
      <c r="E180" s="194">
        <v>2012</v>
      </c>
      <c r="F180" s="194">
        <v>2013</v>
      </c>
      <c r="G180" s="194">
        <v>2014</v>
      </c>
      <c r="H180" s="194">
        <v>2015</v>
      </c>
    </row>
    <row r="181" spans="1:21">
      <c r="A181" s="220" t="s">
        <v>5</v>
      </c>
      <c r="B181" s="273" t="s">
        <v>267</v>
      </c>
      <c r="C181" s="273"/>
      <c r="D181" s="179" t="s">
        <v>16</v>
      </c>
      <c r="E181" s="199">
        <f>E46</f>
        <v>0</v>
      </c>
      <c r="F181" s="199">
        <v>0</v>
      </c>
      <c r="G181" s="199">
        <v>0</v>
      </c>
      <c r="H181" s="200">
        <v>26891405.399999999</v>
      </c>
      <c r="J181" s="225">
        <v>26891405.399999999</v>
      </c>
    </row>
    <row r="182" spans="1:21">
      <c r="A182" s="220"/>
      <c r="B182" s="220" t="s">
        <v>268</v>
      </c>
      <c r="C182" s="220"/>
      <c r="D182" s="179"/>
      <c r="E182" s="199"/>
      <c r="F182" s="199"/>
      <c r="G182" s="199"/>
      <c r="H182" s="200">
        <f>H181-H183</f>
        <v>10809626.719999999</v>
      </c>
      <c r="J182" s="225">
        <v>-3744.17</v>
      </c>
    </row>
    <row r="183" spans="1:21">
      <c r="A183" s="220"/>
      <c r="B183" s="220" t="s">
        <v>269</v>
      </c>
      <c r="C183" s="220"/>
      <c r="D183" s="179"/>
      <c r="E183" s="199"/>
      <c r="F183" s="199"/>
      <c r="G183" s="199"/>
      <c r="H183" s="200">
        <v>16081778.68</v>
      </c>
      <c r="J183" s="225">
        <v>303215.31</v>
      </c>
    </row>
    <row r="184" spans="1:21">
      <c r="A184" s="220" t="s">
        <v>7</v>
      </c>
      <c r="B184" s="220" t="s">
        <v>275</v>
      </c>
      <c r="C184" s="220"/>
      <c r="D184" s="179"/>
      <c r="E184" s="199"/>
      <c r="F184" s="199"/>
      <c r="G184" s="199"/>
      <c r="H184" s="200">
        <f>303215.31-3744.17</f>
        <v>299471.14</v>
      </c>
      <c r="J184" s="225">
        <v>14904.25</v>
      </c>
    </row>
    <row r="185" spans="1:21">
      <c r="A185" s="220" t="s">
        <v>8</v>
      </c>
      <c r="B185" s="273" t="s">
        <v>238</v>
      </c>
      <c r="C185" s="273"/>
      <c r="D185" s="179" t="s">
        <v>16</v>
      </c>
      <c r="E185" s="199">
        <v>0</v>
      </c>
      <c r="F185" s="199">
        <v>0</v>
      </c>
      <c r="G185" s="199">
        <v>0</v>
      </c>
      <c r="H185" s="200">
        <v>14904.25</v>
      </c>
    </row>
    <row r="186" spans="1:21" ht="12" customHeight="1">
      <c r="A186" s="222"/>
      <c r="B186" s="222"/>
      <c r="C186" s="222"/>
      <c r="D186" s="223"/>
      <c r="E186" s="226"/>
      <c r="F186" s="226"/>
      <c r="G186" s="226"/>
      <c r="H186" s="226"/>
    </row>
    <row r="187" spans="1:21">
      <c r="A187" s="222"/>
      <c r="B187" s="222"/>
      <c r="C187" s="222"/>
      <c r="D187" s="223"/>
      <c r="E187" s="226"/>
    </row>
    <row r="188" spans="1:21">
      <c r="B188" s="124" t="s">
        <v>271</v>
      </c>
    </row>
    <row r="189" spans="1:21">
      <c r="A189" s="194" t="s">
        <v>0</v>
      </c>
      <c r="B189" s="275" t="s">
        <v>4</v>
      </c>
      <c r="C189" s="277"/>
      <c r="D189" s="219" t="s">
        <v>13</v>
      </c>
      <c r="E189" s="194"/>
      <c r="F189" s="194"/>
      <c r="G189" s="194"/>
      <c r="H189" s="194"/>
      <c r="I189" s="194">
        <f t="shared" ref="I189:U189" si="57">I1</f>
        <v>2016</v>
      </c>
      <c r="J189" s="194">
        <f t="shared" si="57"/>
        <v>2017</v>
      </c>
      <c r="K189" s="194">
        <f t="shared" si="57"/>
        <v>2018</v>
      </c>
      <c r="L189" s="194">
        <f t="shared" si="57"/>
        <v>2019</v>
      </c>
      <c r="M189" s="194">
        <f t="shared" si="57"/>
        <v>2020</v>
      </c>
      <c r="N189" s="194">
        <f t="shared" si="57"/>
        <v>2021</v>
      </c>
      <c r="O189" s="194">
        <f t="shared" si="57"/>
        <v>2022</v>
      </c>
      <c r="P189" s="194">
        <f t="shared" si="57"/>
        <v>2023</v>
      </c>
      <c r="Q189" s="194">
        <f t="shared" si="57"/>
        <v>2024</v>
      </c>
      <c r="R189" s="194">
        <f t="shared" si="57"/>
        <v>2025</v>
      </c>
      <c r="S189" s="194">
        <f t="shared" si="57"/>
        <v>2026</v>
      </c>
      <c r="T189" s="194">
        <f t="shared" si="57"/>
        <v>2027</v>
      </c>
      <c r="U189" s="194">
        <f t="shared" si="57"/>
        <v>2028</v>
      </c>
    </row>
    <row r="190" spans="1:21" ht="15" customHeight="1">
      <c r="A190" s="220" t="s">
        <v>5</v>
      </c>
      <c r="B190" s="273" t="s">
        <v>270</v>
      </c>
      <c r="C190" s="273"/>
      <c r="D190" s="179" t="s">
        <v>224</v>
      </c>
      <c r="E190" s="227"/>
      <c r="F190" s="115"/>
      <c r="G190" s="228"/>
      <c r="H190" s="229"/>
      <c r="I190" s="143">
        <f>I191+I192</f>
        <v>26891405.399999999</v>
      </c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  <row r="191" spans="1:21" ht="15" customHeight="1">
      <c r="A191" s="220"/>
      <c r="B191" s="273" t="s">
        <v>268</v>
      </c>
      <c r="C191" s="273"/>
      <c r="D191" s="179" t="s">
        <v>224</v>
      </c>
      <c r="E191" s="227"/>
      <c r="F191" s="115"/>
      <c r="G191" s="228"/>
      <c r="H191" s="229"/>
      <c r="I191" s="143">
        <f>H182</f>
        <v>10809626.719999999</v>
      </c>
      <c r="J191" s="143">
        <f>I191</f>
        <v>10809626.719999999</v>
      </c>
      <c r="K191" s="143">
        <f t="shared" ref="K191:U191" si="58">$J$191+K195</f>
        <v>10823861.719999999</v>
      </c>
      <c r="L191" s="143">
        <f t="shared" si="58"/>
        <v>10838096.719999999</v>
      </c>
      <c r="M191" s="143">
        <f t="shared" si="58"/>
        <v>10852331.719999999</v>
      </c>
      <c r="N191" s="143">
        <f t="shared" si="58"/>
        <v>10866566.719999999</v>
      </c>
      <c r="O191" s="143">
        <f t="shared" si="58"/>
        <v>10880804.719999999</v>
      </c>
      <c r="P191" s="143">
        <f t="shared" si="58"/>
        <v>10880804.719999999</v>
      </c>
      <c r="Q191" s="143">
        <f t="shared" si="58"/>
        <v>10880804.719999999</v>
      </c>
      <c r="R191" s="143">
        <f t="shared" si="58"/>
        <v>10880804.719999999</v>
      </c>
      <c r="S191" s="143">
        <f t="shared" si="58"/>
        <v>10880804.719999999</v>
      </c>
      <c r="T191" s="143">
        <f t="shared" si="58"/>
        <v>10880804.719999999</v>
      </c>
      <c r="U191" s="143">
        <f t="shared" si="58"/>
        <v>10880804.719999999</v>
      </c>
    </row>
    <row r="192" spans="1:21" ht="15" customHeight="1">
      <c r="A192" s="220"/>
      <c r="B192" s="274" t="s">
        <v>269</v>
      </c>
      <c r="C192" s="280"/>
      <c r="D192" s="179" t="s">
        <v>224</v>
      </c>
      <c r="E192" s="227"/>
      <c r="F192" s="115"/>
      <c r="G192" s="228"/>
      <c r="H192" s="229"/>
      <c r="I192" s="143">
        <f>H183</f>
        <v>16081778.68</v>
      </c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5" customHeight="1">
      <c r="A193" s="220">
        <v>2</v>
      </c>
      <c r="B193" s="274" t="str">
        <f>B184</f>
        <v>Pozostałe przychody</v>
      </c>
      <c r="C193" s="280"/>
      <c r="D193" s="179" t="s">
        <v>224</v>
      </c>
      <c r="E193" s="227"/>
      <c r="F193" s="115"/>
      <c r="G193" s="228"/>
      <c r="H193" s="229"/>
      <c r="I193" s="143">
        <f>H184</f>
        <v>299471.14</v>
      </c>
      <c r="J193" s="143">
        <f>I193</f>
        <v>299471.14</v>
      </c>
      <c r="K193" s="143">
        <f t="shared" ref="K193:U193" si="59">J193</f>
        <v>299471.14</v>
      </c>
      <c r="L193" s="143">
        <f t="shared" si="59"/>
        <v>299471.14</v>
      </c>
      <c r="M193" s="143">
        <f t="shared" si="59"/>
        <v>299471.14</v>
      </c>
      <c r="N193" s="143">
        <f t="shared" si="59"/>
        <v>299471.14</v>
      </c>
      <c r="O193" s="143">
        <f t="shared" si="59"/>
        <v>299471.14</v>
      </c>
      <c r="P193" s="143">
        <f t="shared" si="59"/>
        <v>299471.14</v>
      </c>
      <c r="Q193" s="143">
        <f t="shared" si="59"/>
        <v>299471.14</v>
      </c>
      <c r="R193" s="143">
        <f t="shared" si="59"/>
        <v>299471.14</v>
      </c>
      <c r="S193" s="143">
        <f t="shared" si="59"/>
        <v>299471.14</v>
      </c>
      <c r="T193" s="143">
        <f t="shared" si="59"/>
        <v>299471.14</v>
      </c>
      <c r="U193" s="143">
        <f t="shared" si="59"/>
        <v>299471.14</v>
      </c>
    </row>
    <row r="194" spans="1:21" ht="15" customHeight="1">
      <c r="A194" s="234">
        <v>3</v>
      </c>
      <c r="B194" s="278" t="str">
        <f>B185</f>
        <v>Ze sprzedaży towarów i materiałów</v>
      </c>
      <c r="C194" s="279"/>
      <c r="D194" s="235" t="s">
        <v>224</v>
      </c>
      <c r="E194" s="236"/>
      <c r="F194" s="237"/>
      <c r="G194" s="238"/>
      <c r="H194" s="239"/>
      <c r="I194" s="240">
        <f>H185</f>
        <v>14904.25</v>
      </c>
      <c r="J194" s="240">
        <f>I194</f>
        <v>14904.25</v>
      </c>
      <c r="K194" s="240">
        <f t="shared" ref="K194:U194" si="60">J194</f>
        <v>14904.25</v>
      </c>
      <c r="L194" s="240">
        <f t="shared" si="60"/>
        <v>14904.25</v>
      </c>
      <c r="M194" s="240">
        <f t="shared" si="60"/>
        <v>14904.25</v>
      </c>
      <c r="N194" s="240">
        <f t="shared" si="60"/>
        <v>14904.25</v>
      </c>
      <c r="O194" s="240">
        <f t="shared" si="60"/>
        <v>14904.25</v>
      </c>
      <c r="P194" s="240">
        <f t="shared" si="60"/>
        <v>14904.25</v>
      </c>
      <c r="Q194" s="240">
        <f t="shared" si="60"/>
        <v>14904.25</v>
      </c>
      <c r="R194" s="240">
        <f t="shared" si="60"/>
        <v>14904.25</v>
      </c>
      <c r="S194" s="240">
        <f t="shared" si="60"/>
        <v>14904.25</v>
      </c>
      <c r="T194" s="240">
        <f t="shared" si="60"/>
        <v>14904.25</v>
      </c>
      <c r="U194" s="240">
        <f t="shared" si="60"/>
        <v>14904.25</v>
      </c>
    </row>
    <row r="195" spans="1:21" s="124" customFormat="1" ht="30.6">
      <c r="A195" s="241"/>
      <c r="B195" s="242" t="s">
        <v>306</v>
      </c>
      <c r="C195" s="241"/>
      <c r="D195" s="88"/>
      <c r="E195" s="243"/>
      <c r="F195" s="119"/>
      <c r="G195" s="244"/>
      <c r="H195" s="244"/>
      <c r="I195" s="143">
        <v>0</v>
      </c>
      <c r="J195" s="143">
        <v>0</v>
      </c>
      <c r="K195" s="255">
        <v>14235</v>
      </c>
      <c r="L195" s="255">
        <v>28470</v>
      </c>
      <c r="M195" s="255">
        <v>42705</v>
      </c>
      <c r="N195" s="255">
        <v>56940</v>
      </c>
      <c r="O195" s="255">
        <v>71178</v>
      </c>
      <c r="P195" s="255">
        <v>71178</v>
      </c>
      <c r="Q195" s="255">
        <v>71178</v>
      </c>
      <c r="R195" s="255">
        <v>71178</v>
      </c>
      <c r="S195" s="255">
        <v>71178</v>
      </c>
      <c r="T195" s="256">
        <f>S195</f>
        <v>71178</v>
      </c>
      <c r="U195" s="256">
        <f t="shared" ref="U195" si="61">T195</f>
        <v>71178</v>
      </c>
    </row>
    <row r="196" spans="1:21">
      <c r="A196" s="222"/>
      <c r="B196" s="222"/>
      <c r="C196" s="222"/>
      <c r="D196" s="223"/>
      <c r="E196" s="245"/>
      <c r="F196" s="127"/>
      <c r="G196" s="246"/>
      <c r="H196" s="224"/>
      <c r="I196" s="224"/>
    </row>
    <row r="197" spans="1:21" ht="20.399999999999999">
      <c r="A197" s="247"/>
      <c r="B197" s="247" t="s">
        <v>278</v>
      </c>
      <c r="C197" s="222"/>
      <c r="D197" s="223"/>
      <c r="E197" s="245"/>
      <c r="G197" s="246"/>
      <c r="H197" s="224"/>
      <c r="I197" s="224"/>
      <c r="J197" s="191"/>
      <c r="K197" s="191"/>
      <c r="L197" s="191"/>
      <c r="M197" s="191"/>
      <c r="N197" s="191"/>
      <c r="O197" s="191"/>
      <c r="P197" s="191"/>
    </row>
    <row r="198" spans="1:21">
      <c r="A198" s="194" t="s">
        <v>31</v>
      </c>
      <c r="B198" s="275" t="s">
        <v>32</v>
      </c>
      <c r="C198" s="277"/>
      <c r="D198" s="219" t="s">
        <v>277</v>
      </c>
      <c r="E198" s="194">
        <f t="shared" ref="E198:U198" si="62">E1</f>
        <v>2012</v>
      </c>
      <c r="F198" s="194">
        <f t="shared" si="62"/>
        <v>2013</v>
      </c>
      <c r="G198" s="194">
        <f t="shared" si="62"/>
        <v>2014</v>
      </c>
      <c r="H198" s="194">
        <f t="shared" si="62"/>
        <v>2015</v>
      </c>
      <c r="I198" s="194">
        <f t="shared" si="62"/>
        <v>2016</v>
      </c>
      <c r="J198" s="194">
        <f t="shared" si="62"/>
        <v>2017</v>
      </c>
      <c r="K198" s="194">
        <f t="shared" si="62"/>
        <v>2018</v>
      </c>
      <c r="L198" s="194">
        <f t="shared" si="62"/>
        <v>2019</v>
      </c>
      <c r="M198" s="194">
        <f t="shared" si="62"/>
        <v>2020</v>
      </c>
      <c r="N198" s="194">
        <f t="shared" si="62"/>
        <v>2021</v>
      </c>
      <c r="O198" s="194">
        <f t="shared" si="62"/>
        <v>2022</v>
      </c>
      <c r="P198" s="194">
        <f t="shared" si="62"/>
        <v>2023</v>
      </c>
      <c r="Q198" s="194">
        <f t="shared" si="62"/>
        <v>2024</v>
      </c>
      <c r="R198" s="194">
        <f t="shared" si="62"/>
        <v>2025</v>
      </c>
      <c r="S198" s="194">
        <f t="shared" si="62"/>
        <v>2026</v>
      </c>
      <c r="T198" s="194">
        <f t="shared" si="62"/>
        <v>2027</v>
      </c>
      <c r="U198" s="194">
        <f t="shared" si="62"/>
        <v>2028</v>
      </c>
    </row>
    <row r="199" spans="1:21">
      <c r="A199" s="179" t="s">
        <v>35</v>
      </c>
      <c r="B199" s="273" t="s">
        <v>36</v>
      </c>
      <c r="C199" s="274"/>
      <c r="D199" s="248">
        <v>1.01</v>
      </c>
      <c r="E199" s="115"/>
      <c r="F199" s="115"/>
      <c r="G199" s="115"/>
      <c r="H199" s="143">
        <f t="shared" ref="H199:H205" si="63">H49</f>
        <v>8540270.5199999996</v>
      </c>
      <c r="I199" s="143">
        <f>$D199*H199</f>
        <v>8625673.2251999993</v>
      </c>
      <c r="J199" s="143">
        <f t="shared" ref="J199:U205" si="64">$D199*I199</f>
        <v>8711929.9574519992</v>
      </c>
      <c r="K199" s="143">
        <f t="shared" si="64"/>
        <v>8799049.2570265196</v>
      </c>
      <c r="L199" s="143">
        <f t="shared" si="64"/>
        <v>8887039.7495967858</v>
      </c>
      <c r="M199" s="143">
        <f t="shared" si="64"/>
        <v>8975910.147092754</v>
      </c>
      <c r="N199" s="143">
        <f t="shared" si="64"/>
        <v>9065669.2485636808</v>
      </c>
      <c r="O199" s="143">
        <f t="shared" si="64"/>
        <v>9156325.9410493169</v>
      </c>
      <c r="P199" s="143">
        <f t="shared" si="64"/>
        <v>9247889.20045981</v>
      </c>
      <c r="Q199" s="143">
        <f t="shared" si="64"/>
        <v>9340368.0924644079</v>
      </c>
      <c r="R199" s="143">
        <f t="shared" si="64"/>
        <v>9433771.7733890526</v>
      </c>
      <c r="S199" s="143">
        <f t="shared" si="64"/>
        <v>9528109.4911229424</v>
      </c>
      <c r="T199" s="143">
        <f t="shared" si="64"/>
        <v>9623390.5860341713</v>
      </c>
      <c r="U199" s="143">
        <f t="shared" si="64"/>
        <v>9719624.4918945134</v>
      </c>
    </row>
    <row r="200" spans="1:21">
      <c r="A200" s="179" t="s">
        <v>37</v>
      </c>
      <c r="B200" s="273" t="s">
        <v>38</v>
      </c>
      <c r="C200" s="274"/>
      <c r="D200" s="248">
        <v>1.01</v>
      </c>
      <c r="E200" s="115"/>
      <c r="F200" s="115"/>
      <c r="G200" s="115"/>
      <c r="H200" s="143">
        <f t="shared" si="63"/>
        <v>1144741.03</v>
      </c>
      <c r="I200" s="143">
        <f t="shared" ref="I200:U205" si="65">$D200*H200</f>
        <v>1156188.4403000001</v>
      </c>
      <c r="J200" s="143">
        <f t="shared" si="65"/>
        <v>1167750.3247030003</v>
      </c>
      <c r="K200" s="143">
        <f t="shared" si="65"/>
        <v>1179427.8279500303</v>
      </c>
      <c r="L200" s="143">
        <f t="shared" si="65"/>
        <v>1191222.1062295306</v>
      </c>
      <c r="M200" s="143">
        <f t="shared" si="65"/>
        <v>1203134.327291826</v>
      </c>
      <c r="N200" s="143">
        <f t="shared" si="65"/>
        <v>1215165.6705647444</v>
      </c>
      <c r="O200" s="143">
        <f t="shared" si="65"/>
        <v>1227317.3272703919</v>
      </c>
      <c r="P200" s="143">
        <f t="shared" si="65"/>
        <v>1239590.5005430959</v>
      </c>
      <c r="Q200" s="143">
        <f t="shared" si="65"/>
        <v>1251986.4055485269</v>
      </c>
      <c r="R200" s="143">
        <f t="shared" si="65"/>
        <v>1264506.2696040121</v>
      </c>
      <c r="S200" s="143">
        <f t="shared" si="65"/>
        <v>1277151.3323000523</v>
      </c>
      <c r="T200" s="143">
        <f t="shared" si="65"/>
        <v>1289922.8456230529</v>
      </c>
      <c r="U200" s="143">
        <f t="shared" si="65"/>
        <v>1302822.0740792835</v>
      </c>
    </row>
    <row r="201" spans="1:21">
      <c r="A201" s="179" t="s">
        <v>39</v>
      </c>
      <c r="B201" s="273" t="s">
        <v>40</v>
      </c>
      <c r="C201" s="274"/>
      <c r="D201" s="248">
        <v>1.01</v>
      </c>
      <c r="E201" s="115"/>
      <c r="F201" s="115"/>
      <c r="G201" s="115"/>
      <c r="H201" s="143">
        <f t="shared" si="63"/>
        <v>698707.27</v>
      </c>
      <c r="I201" s="143">
        <f t="shared" si="65"/>
        <v>705694.34270000004</v>
      </c>
      <c r="J201" s="143">
        <f t="shared" si="64"/>
        <v>712751.286127</v>
      </c>
      <c r="K201" s="143">
        <f t="shared" si="64"/>
        <v>719878.79898826999</v>
      </c>
      <c r="L201" s="143">
        <f t="shared" si="64"/>
        <v>727077.58697815274</v>
      </c>
      <c r="M201" s="143">
        <f t="shared" si="64"/>
        <v>734348.36284793424</v>
      </c>
      <c r="N201" s="143">
        <f t="shared" si="64"/>
        <v>741691.84647641354</v>
      </c>
      <c r="O201" s="143">
        <f t="shared" si="64"/>
        <v>749108.76494117768</v>
      </c>
      <c r="P201" s="143">
        <f t="shared" si="64"/>
        <v>756599.85259058943</v>
      </c>
      <c r="Q201" s="143">
        <f t="shared" si="64"/>
        <v>764165.85111649532</v>
      </c>
      <c r="R201" s="143">
        <f t="shared" si="64"/>
        <v>771807.50962766027</v>
      </c>
      <c r="S201" s="143">
        <f t="shared" si="64"/>
        <v>779525.58472393686</v>
      </c>
      <c r="T201" s="143">
        <f t="shared" si="64"/>
        <v>787320.84057117626</v>
      </c>
      <c r="U201" s="143">
        <f t="shared" si="64"/>
        <v>795194.04897688807</v>
      </c>
    </row>
    <row r="202" spans="1:21">
      <c r="A202" s="179" t="s">
        <v>41</v>
      </c>
      <c r="B202" s="273" t="s">
        <v>42</v>
      </c>
      <c r="C202" s="274"/>
      <c r="D202" s="248">
        <v>1.01</v>
      </c>
      <c r="E202" s="115"/>
      <c r="F202" s="115"/>
      <c r="G202" s="115"/>
      <c r="H202" s="143">
        <f t="shared" si="63"/>
        <v>10516152.199999999</v>
      </c>
      <c r="I202" s="143">
        <f t="shared" si="65"/>
        <v>10621313.721999999</v>
      </c>
      <c r="J202" s="143">
        <f t="shared" si="64"/>
        <v>10727526.85922</v>
      </c>
      <c r="K202" s="143">
        <f t="shared" si="64"/>
        <v>10834802.127812199</v>
      </c>
      <c r="L202" s="143">
        <f t="shared" si="64"/>
        <v>10943150.149090322</v>
      </c>
      <c r="M202" s="143">
        <f t="shared" si="64"/>
        <v>11052581.650581226</v>
      </c>
      <c r="N202" s="143">
        <f t="shared" si="64"/>
        <v>11163107.467087038</v>
      </c>
      <c r="O202" s="143">
        <f t="shared" si="64"/>
        <v>11274738.541757908</v>
      </c>
      <c r="P202" s="143">
        <f t="shared" si="64"/>
        <v>11387485.927175486</v>
      </c>
      <c r="Q202" s="143">
        <f t="shared" si="64"/>
        <v>11501360.786447242</v>
      </c>
      <c r="R202" s="143">
        <f t="shared" si="64"/>
        <v>11616374.394311715</v>
      </c>
      <c r="S202" s="143">
        <f t="shared" si="64"/>
        <v>11732538.138254832</v>
      </c>
      <c r="T202" s="143">
        <f t="shared" si="64"/>
        <v>11849863.519637382</v>
      </c>
      <c r="U202" s="143">
        <f t="shared" si="64"/>
        <v>11968362.154833756</v>
      </c>
    </row>
    <row r="203" spans="1:21">
      <c r="A203" s="179" t="s">
        <v>43</v>
      </c>
      <c r="B203" s="273" t="s">
        <v>44</v>
      </c>
      <c r="C203" s="274"/>
      <c r="D203" s="248">
        <v>1.01</v>
      </c>
      <c r="E203" s="115"/>
      <c r="F203" s="115"/>
      <c r="G203" s="115"/>
      <c r="H203" s="143">
        <f t="shared" si="63"/>
        <v>2743581.93</v>
      </c>
      <c r="I203" s="143">
        <f t="shared" si="65"/>
        <v>2771017.7493000003</v>
      </c>
      <c r="J203" s="143">
        <f t="shared" si="64"/>
        <v>2798727.9267930002</v>
      </c>
      <c r="K203" s="143">
        <f t="shared" si="64"/>
        <v>2826715.2060609302</v>
      </c>
      <c r="L203" s="143">
        <f t="shared" si="64"/>
        <v>2854982.3581215395</v>
      </c>
      <c r="M203" s="143">
        <f t="shared" si="64"/>
        <v>2883532.1817027549</v>
      </c>
      <c r="N203" s="143">
        <f t="shared" si="64"/>
        <v>2912367.5035197823</v>
      </c>
      <c r="O203" s="143">
        <f t="shared" si="64"/>
        <v>2941491.1785549801</v>
      </c>
      <c r="P203" s="143">
        <f t="shared" si="64"/>
        <v>2970906.09034053</v>
      </c>
      <c r="Q203" s="143">
        <f t="shared" si="64"/>
        <v>3000615.1512439353</v>
      </c>
      <c r="R203" s="143">
        <f t="shared" si="64"/>
        <v>3030621.3027563747</v>
      </c>
      <c r="S203" s="143">
        <f t="shared" si="64"/>
        <v>3060927.5157839386</v>
      </c>
      <c r="T203" s="143">
        <f t="shared" si="64"/>
        <v>3091536.7909417781</v>
      </c>
      <c r="U203" s="143">
        <f t="shared" si="64"/>
        <v>3122452.1588511961</v>
      </c>
    </row>
    <row r="204" spans="1:21">
      <c r="A204" s="179" t="s">
        <v>45</v>
      </c>
      <c r="B204" s="273" t="s">
        <v>46</v>
      </c>
      <c r="C204" s="274"/>
      <c r="D204" s="248">
        <v>1.01</v>
      </c>
      <c r="E204" s="115"/>
      <c r="F204" s="115"/>
      <c r="G204" s="115"/>
      <c r="H204" s="143">
        <f t="shared" si="63"/>
        <v>521958.83</v>
      </c>
      <c r="I204" s="143">
        <f t="shared" si="65"/>
        <v>527178.41830000002</v>
      </c>
      <c r="J204" s="143">
        <f t="shared" si="64"/>
        <v>532450.202483</v>
      </c>
      <c r="K204" s="143">
        <f t="shared" si="64"/>
        <v>537774.70450782997</v>
      </c>
      <c r="L204" s="143">
        <f t="shared" si="64"/>
        <v>543152.45155290829</v>
      </c>
      <c r="M204" s="143">
        <f t="shared" si="64"/>
        <v>548583.97606843733</v>
      </c>
      <c r="N204" s="143">
        <f t="shared" si="64"/>
        <v>554069.81582912174</v>
      </c>
      <c r="O204" s="143">
        <f t="shared" si="64"/>
        <v>559610.51398741291</v>
      </c>
      <c r="P204" s="143">
        <f t="shared" si="64"/>
        <v>565206.61912728706</v>
      </c>
      <c r="Q204" s="143">
        <f t="shared" si="64"/>
        <v>570858.68531855999</v>
      </c>
      <c r="R204" s="143">
        <f t="shared" si="64"/>
        <v>576567.27217174554</v>
      </c>
      <c r="S204" s="143">
        <f t="shared" si="64"/>
        <v>582332.94489346305</v>
      </c>
      <c r="T204" s="143">
        <f t="shared" si="64"/>
        <v>588156.27434239769</v>
      </c>
      <c r="U204" s="143">
        <f t="shared" si="64"/>
        <v>594037.83708582167</v>
      </c>
    </row>
    <row r="205" spans="1:21">
      <c r="A205" s="179" t="s">
        <v>47</v>
      </c>
      <c r="B205" s="273" t="s">
        <v>48</v>
      </c>
      <c r="C205" s="274"/>
      <c r="D205" s="248">
        <v>1.01</v>
      </c>
      <c r="E205" s="115"/>
      <c r="F205" s="115"/>
      <c r="G205" s="115"/>
      <c r="H205" s="143">
        <f t="shared" si="63"/>
        <v>1097.74</v>
      </c>
      <c r="I205" s="143">
        <f t="shared" si="65"/>
        <v>1108.7174</v>
      </c>
      <c r="J205" s="143">
        <f t="shared" si="64"/>
        <v>1119.804574</v>
      </c>
      <c r="K205" s="143">
        <f t="shared" si="64"/>
        <v>1131.00261974</v>
      </c>
      <c r="L205" s="143">
        <f t="shared" si="64"/>
        <v>1142.3126459374</v>
      </c>
      <c r="M205" s="143">
        <f t="shared" si="64"/>
        <v>1153.7357723967741</v>
      </c>
      <c r="N205" s="143">
        <f t="shared" si="64"/>
        <v>1165.2731301207418</v>
      </c>
      <c r="O205" s="143">
        <f t="shared" si="64"/>
        <v>1176.9258614219493</v>
      </c>
      <c r="P205" s="143">
        <f t="shared" si="64"/>
        <v>1188.6951200361689</v>
      </c>
      <c r="Q205" s="143">
        <f t="shared" si="64"/>
        <v>1200.5820712365305</v>
      </c>
      <c r="R205" s="143">
        <f t="shared" si="64"/>
        <v>1212.5878919488957</v>
      </c>
      <c r="S205" s="143">
        <f t="shared" si="64"/>
        <v>1224.7137708683847</v>
      </c>
      <c r="T205" s="143">
        <f t="shared" si="64"/>
        <v>1236.9609085770685</v>
      </c>
      <c r="U205" s="143">
        <f t="shared" si="64"/>
        <v>1249.3305176628392</v>
      </c>
    </row>
    <row r="207" spans="1:21" ht="20.399999999999999">
      <c r="B207" s="247" t="s">
        <v>279</v>
      </c>
    </row>
    <row r="208" spans="1:21">
      <c r="A208" s="194" t="s">
        <v>31</v>
      </c>
      <c r="B208" s="275" t="s">
        <v>32</v>
      </c>
      <c r="C208" s="277"/>
      <c r="D208" s="219" t="s">
        <v>277</v>
      </c>
      <c r="E208" s="194">
        <v>2012</v>
      </c>
      <c r="F208" s="194">
        <v>2013</v>
      </c>
      <c r="G208" s="194">
        <v>2014</v>
      </c>
      <c r="H208" s="194">
        <v>2015</v>
      </c>
      <c r="I208" s="194">
        <v>2016</v>
      </c>
      <c r="J208" s="194">
        <v>2017</v>
      </c>
      <c r="K208" s="194">
        <v>2018</v>
      </c>
      <c r="L208" s="194">
        <v>2019</v>
      </c>
      <c r="M208" s="194">
        <v>2020</v>
      </c>
      <c r="N208" s="194">
        <v>2021</v>
      </c>
      <c r="O208" s="194">
        <v>2022</v>
      </c>
      <c r="P208" s="194">
        <v>2023</v>
      </c>
      <c r="Q208" s="194">
        <v>2024</v>
      </c>
      <c r="R208" s="194">
        <v>2025</v>
      </c>
      <c r="S208" s="194">
        <v>2026</v>
      </c>
      <c r="T208" s="194">
        <v>2027</v>
      </c>
      <c r="U208" s="194">
        <v>2028</v>
      </c>
    </row>
    <row r="209" spans="1:21">
      <c r="A209" s="179" t="s">
        <v>35</v>
      </c>
      <c r="B209" s="273" t="s">
        <v>36</v>
      </c>
      <c r="C209" s="274"/>
      <c r="D209" s="248">
        <v>1.01</v>
      </c>
      <c r="E209" s="115"/>
      <c r="F209" s="115"/>
      <c r="G209" s="115"/>
      <c r="H209" s="143">
        <v>0</v>
      </c>
      <c r="I209" s="143">
        <v>0</v>
      </c>
      <c r="J209" s="143">
        <v>0</v>
      </c>
      <c r="K209" s="143">
        <v>-1428409</v>
      </c>
      <c r="L209" s="143">
        <v>-1442693</v>
      </c>
      <c r="M209" s="143">
        <v>-1457120</v>
      </c>
      <c r="N209" s="143">
        <v>-1471691</v>
      </c>
      <c r="O209" s="143">
        <v>-1486408</v>
      </c>
      <c r="P209" s="143">
        <v>-1501272</v>
      </c>
      <c r="Q209" s="143">
        <v>-1516285</v>
      </c>
      <c r="R209" s="143">
        <v>-1531448</v>
      </c>
      <c r="S209" s="143">
        <v>-1546762</v>
      </c>
      <c r="T209" s="143">
        <v>-1562230</v>
      </c>
      <c r="U209" s="143">
        <v>-1577852</v>
      </c>
    </row>
    <row r="210" spans="1:21">
      <c r="A210" s="179" t="s">
        <v>37</v>
      </c>
      <c r="B210" s="273" t="s">
        <v>38</v>
      </c>
      <c r="C210" s="274"/>
      <c r="D210" s="248">
        <v>1.01</v>
      </c>
      <c r="E210" s="115"/>
      <c r="F210" s="115"/>
      <c r="G210" s="115"/>
      <c r="H210" s="143">
        <v>0</v>
      </c>
      <c r="I210" s="143">
        <v>0</v>
      </c>
      <c r="J210" s="143">
        <v>0</v>
      </c>
      <c r="K210" s="143">
        <v>-154091</v>
      </c>
      <c r="L210" s="143">
        <v>-155632</v>
      </c>
      <c r="M210" s="143">
        <v>-157188</v>
      </c>
      <c r="N210" s="143">
        <v>-158760</v>
      </c>
      <c r="O210" s="143">
        <v>-160347</v>
      </c>
      <c r="P210" s="143">
        <v>-161951</v>
      </c>
      <c r="Q210" s="143">
        <v>-163570</v>
      </c>
      <c r="R210" s="143">
        <v>-165206</v>
      </c>
      <c r="S210" s="143">
        <v>-166858</v>
      </c>
      <c r="T210" s="143">
        <v>-168527</v>
      </c>
      <c r="U210" s="143">
        <v>-170212</v>
      </c>
    </row>
    <row r="211" spans="1:21">
      <c r="A211" s="179" t="s">
        <v>39</v>
      </c>
      <c r="B211" s="273" t="s">
        <v>40</v>
      </c>
      <c r="C211" s="274"/>
      <c r="D211" s="248">
        <v>1.01</v>
      </c>
      <c r="E211" s="115"/>
      <c r="F211" s="115"/>
      <c r="G211" s="115"/>
      <c r="H211" s="115">
        <v>0</v>
      </c>
      <c r="I211" s="115">
        <v>0</v>
      </c>
      <c r="J211" s="115">
        <v>0</v>
      </c>
      <c r="K211" s="115">
        <v>0</v>
      </c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5">
        <v>0</v>
      </c>
      <c r="S211" s="115">
        <v>0</v>
      </c>
      <c r="T211" s="115">
        <v>0</v>
      </c>
      <c r="U211" s="115">
        <v>0</v>
      </c>
    </row>
    <row r="212" spans="1:21">
      <c r="A212" s="179" t="s">
        <v>41</v>
      </c>
      <c r="B212" s="273" t="s">
        <v>42</v>
      </c>
      <c r="C212" s="274"/>
      <c r="D212" s="248">
        <v>1.01</v>
      </c>
      <c r="E212" s="115"/>
      <c r="F212" s="115"/>
      <c r="G212" s="115"/>
      <c r="H212" s="115">
        <v>0</v>
      </c>
      <c r="I212" s="115">
        <v>0</v>
      </c>
      <c r="J212" s="115">
        <v>0</v>
      </c>
      <c r="K212" s="115">
        <v>0</v>
      </c>
      <c r="L212" s="115">
        <v>0</v>
      </c>
      <c r="M212" s="115">
        <v>0</v>
      </c>
      <c r="N212" s="115">
        <v>0</v>
      </c>
      <c r="O212" s="115">
        <v>0</v>
      </c>
      <c r="P212" s="115">
        <v>0</v>
      </c>
      <c r="Q212" s="115">
        <v>0</v>
      </c>
      <c r="R212" s="115">
        <v>0</v>
      </c>
      <c r="S212" s="115">
        <v>0</v>
      </c>
      <c r="T212" s="115">
        <v>0</v>
      </c>
      <c r="U212" s="115">
        <v>0</v>
      </c>
    </row>
    <row r="213" spans="1:21">
      <c r="A213" s="179" t="s">
        <v>43</v>
      </c>
      <c r="B213" s="273" t="s">
        <v>44</v>
      </c>
      <c r="C213" s="274"/>
      <c r="D213" s="248">
        <v>1.01</v>
      </c>
      <c r="E213" s="115"/>
      <c r="F213" s="115"/>
      <c r="G213" s="115"/>
      <c r="H213" s="115">
        <v>0</v>
      </c>
      <c r="I213" s="115">
        <v>0</v>
      </c>
      <c r="J213" s="115">
        <v>0</v>
      </c>
      <c r="K213" s="115">
        <v>0</v>
      </c>
      <c r="L213" s="115">
        <v>0</v>
      </c>
      <c r="M213" s="115">
        <v>0</v>
      </c>
      <c r="N213" s="115">
        <v>0</v>
      </c>
      <c r="O213" s="115">
        <v>0</v>
      </c>
      <c r="P213" s="115">
        <v>0</v>
      </c>
      <c r="Q213" s="115">
        <v>0</v>
      </c>
      <c r="R213" s="115">
        <v>0</v>
      </c>
      <c r="S213" s="115">
        <v>0</v>
      </c>
      <c r="T213" s="115">
        <v>0</v>
      </c>
      <c r="U213" s="115">
        <v>0</v>
      </c>
    </row>
    <row r="214" spans="1:21">
      <c r="A214" s="179" t="s">
        <v>45</v>
      </c>
      <c r="B214" s="273" t="s">
        <v>46</v>
      </c>
      <c r="C214" s="274"/>
      <c r="D214" s="248">
        <v>1.01</v>
      </c>
      <c r="E214" s="115"/>
      <c r="F214" s="115"/>
      <c r="G214" s="115"/>
      <c r="H214" s="115">
        <v>0</v>
      </c>
      <c r="I214" s="115">
        <v>0</v>
      </c>
      <c r="J214" s="115">
        <v>0</v>
      </c>
      <c r="K214" s="115">
        <v>0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0</v>
      </c>
      <c r="T214" s="115">
        <v>0</v>
      </c>
      <c r="U214" s="115">
        <v>0</v>
      </c>
    </row>
    <row r="215" spans="1:21">
      <c r="A215" s="179" t="s">
        <v>47</v>
      </c>
      <c r="B215" s="273" t="s">
        <v>48</v>
      </c>
      <c r="C215" s="274"/>
      <c r="D215" s="248">
        <v>1.01</v>
      </c>
      <c r="E215" s="115"/>
      <c r="F215" s="115"/>
      <c r="G215" s="115"/>
      <c r="H215" s="115">
        <v>0</v>
      </c>
      <c r="I215" s="115">
        <v>0</v>
      </c>
      <c r="J215" s="115">
        <v>0</v>
      </c>
      <c r="K215" s="115">
        <v>0</v>
      </c>
      <c r="L215" s="115">
        <v>0</v>
      </c>
      <c r="M215" s="115">
        <v>0</v>
      </c>
      <c r="N215" s="115">
        <v>0</v>
      </c>
      <c r="O215" s="115">
        <v>0</v>
      </c>
      <c r="P215" s="115">
        <v>0</v>
      </c>
      <c r="Q215" s="115">
        <v>0</v>
      </c>
      <c r="R215" s="115">
        <v>0</v>
      </c>
      <c r="S215" s="115">
        <v>0</v>
      </c>
      <c r="T215" s="115">
        <v>0</v>
      </c>
      <c r="U215" s="115">
        <v>0</v>
      </c>
    </row>
    <row r="217" spans="1:21">
      <c r="B217" s="124" t="s">
        <v>292</v>
      </c>
    </row>
    <row r="218" spans="1:21">
      <c r="B218" s="275"/>
      <c r="C218" s="275"/>
      <c r="D218" s="194" t="s">
        <v>16</v>
      </c>
      <c r="E218" s="249">
        <f>E$1</f>
        <v>2012</v>
      </c>
      <c r="F218" s="249">
        <f t="shared" ref="F218:U218" si="66">F$1</f>
        <v>2013</v>
      </c>
      <c r="G218" s="249">
        <f t="shared" si="66"/>
        <v>2014</v>
      </c>
      <c r="H218" s="249">
        <f t="shared" si="66"/>
        <v>2015</v>
      </c>
      <c r="I218" s="249">
        <f t="shared" si="66"/>
        <v>2016</v>
      </c>
      <c r="J218" s="249">
        <f t="shared" si="66"/>
        <v>2017</v>
      </c>
      <c r="K218" s="249">
        <f t="shared" si="66"/>
        <v>2018</v>
      </c>
      <c r="L218" s="249">
        <f t="shared" si="66"/>
        <v>2019</v>
      </c>
      <c r="M218" s="249">
        <f t="shared" si="66"/>
        <v>2020</v>
      </c>
      <c r="N218" s="249">
        <f t="shared" si="66"/>
        <v>2021</v>
      </c>
      <c r="O218" s="249">
        <f t="shared" si="66"/>
        <v>2022</v>
      </c>
      <c r="P218" s="249">
        <f t="shared" si="66"/>
        <v>2023</v>
      </c>
      <c r="Q218" s="249">
        <f t="shared" si="66"/>
        <v>2024</v>
      </c>
      <c r="R218" s="249">
        <f t="shared" si="66"/>
        <v>2025</v>
      </c>
      <c r="S218" s="249">
        <f t="shared" si="66"/>
        <v>2026</v>
      </c>
      <c r="T218" s="249">
        <f t="shared" si="66"/>
        <v>2027</v>
      </c>
      <c r="U218" s="249">
        <f t="shared" si="66"/>
        <v>2028</v>
      </c>
    </row>
    <row r="219" spans="1:21">
      <c r="B219" s="276" t="s">
        <v>52</v>
      </c>
      <c r="C219" s="276"/>
      <c r="D219" s="180" t="s">
        <v>16</v>
      </c>
      <c r="E219" s="195">
        <v>0</v>
      </c>
      <c r="F219" s="195">
        <v>0</v>
      </c>
      <c r="G219" s="196">
        <v>2601378.09</v>
      </c>
      <c r="H219" s="196">
        <v>2825797.29</v>
      </c>
      <c r="I219" s="196">
        <f>H219</f>
        <v>2825797.29</v>
      </c>
      <c r="J219" s="196">
        <f t="shared" ref="J219:U219" si="67">I219</f>
        <v>2825797.29</v>
      </c>
      <c r="K219" s="196">
        <f t="shared" si="67"/>
        <v>2825797.29</v>
      </c>
      <c r="L219" s="196">
        <f t="shared" si="67"/>
        <v>2825797.29</v>
      </c>
      <c r="M219" s="196">
        <f t="shared" si="67"/>
        <v>2825797.29</v>
      </c>
      <c r="N219" s="196">
        <f t="shared" si="67"/>
        <v>2825797.29</v>
      </c>
      <c r="O219" s="196">
        <f t="shared" si="67"/>
        <v>2825797.29</v>
      </c>
      <c r="P219" s="196">
        <f t="shared" si="67"/>
        <v>2825797.29</v>
      </c>
      <c r="Q219" s="196">
        <f t="shared" si="67"/>
        <v>2825797.29</v>
      </c>
      <c r="R219" s="196">
        <f t="shared" si="67"/>
        <v>2825797.29</v>
      </c>
      <c r="S219" s="196">
        <f t="shared" si="67"/>
        <v>2825797.29</v>
      </c>
      <c r="T219" s="196">
        <f t="shared" si="67"/>
        <v>2825797.29</v>
      </c>
      <c r="U219" s="196">
        <f t="shared" si="67"/>
        <v>2825797.29</v>
      </c>
    </row>
    <row r="220" spans="1:21">
      <c r="B220" s="273" t="s">
        <v>256</v>
      </c>
      <c r="C220" s="273"/>
      <c r="D220" s="179" t="s">
        <v>16</v>
      </c>
      <c r="E220" s="199">
        <v>0</v>
      </c>
      <c r="F220" s="199">
        <v>0</v>
      </c>
      <c r="G220" s="200">
        <v>0</v>
      </c>
      <c r="H220" s="200">
        <v>0</v>
      </c>
      <c r="I220" s="200">
        <v>0</v>
      </c>
      <c r="J220" s="200">
        <v>0</v>
      </c>
      <c r="K220" s="200">
        <v>0</v>
      </c>
      <c r="L220" s="200">
        <v>0</v>
      </c>
      <c r="M220" s="200">
        <v>0</v>
      </c>
      <c r="N220" s="200">
        <v>0</v>
      </c>
      <c r="O220" s="200">
        <v>0</v>
      </c>
      <c r="P220" s="200">
        <v>0</v>
      </c>
      <c r="Q220" s="200">
        <v>0</v>
      </c>
      <c r="R220" s="200">
        <v>0</v>
      </c>
      <c r="S220" s="200">
        <v>0</v>
      </c>
      <c r="T220" s="200">
        <v>0</v>
      </c>
      <c r="U220" s="200">
        <v>0</v>
      </c>
    </row>
    <row r="221" spans="1:21">
      <c r="B221" s="276" t="s">
        <v>54</v>
      </c>
      <c r="C221" s="276"/>
      <c r="D221" s="180" t="s">
        <v>16</v>
      </c>
      <c r="E221" s="195">
        <v>0</v>
      </c>
      <c r="F221" s="195">
        <v>0</v>
      </c>
      <c r="G221" s="196">
        <v>707809.68</v>
      </c>
      <c r="H221" s="196">
        <v>1041245.8200000001</v>
      </c>
      <c r="I221" s="196">
        <v>1374681.96</v>
      </c>
      <c r="J221" s="196">
        <v>1708118.1</v>
      </c>
      <c r="K221" s="196">
        <v>2041554.24</v>
      </c>
      <c r="L221" s="196">
        <v>2374990.38</v>
      </c>
      <c r="M221" s="196">
        <v>2708426.52</v>
      </c>
      <c r="N221" s="196">
        <v>3041862.66</v>
      </c>
      <c r="O221" s="196">
        <v>3375298.8</v>
      </c>
      <c r="P221" s="196">
        <v>3708734.94</v>
      </c>
      <c r="Q221" s="196">
        <v>4042171.08</v>
      </c>
      <c r="R221" s="196">
        <v>4375607.22</v>
      </c>
      <c r="S221" s="196">
        <v>4709043.3600000003</v>
      </c>
      <c r="T221" s="196">
        <v>5042479.5</v>
      </c>
      <c r="U221" s="196">
        <v>5375915.6399999997</v>
      </c>
    </row>
    <row r="223" spans="1:21">
      <c r="B223" s="124" t="s">
        <v>291</v>
      </c>
    </row>
    <row r="224" spans="1:21">
      <c r="B224" s="275"/>
      <c r="C224" s="275"/>
      <c r="D224" s="194" t="s">
        <v>16</v>
      </c>
      <c r="E224" s="249">
        <f>E$1</f>
        <v>2012</v>
      </c>
      <c r="F224" s="249">
        <f t="shared" ref="F224:U224" si="68">F$1</f>
        <v>2013</v>
      </c>
      <c r="G224" s="249">
        <f t="shared" si="68"/>
        <v>2014</v>
      </c>
      <c r="H224" s="249">
        <f t="shared" si="68"/>
        <v>2015</v>
      </c>
      <c r="I224" s="249">
        <f t="shared" si="68"/>
        <v>2016</v>
      </c>
      <c r="J224" s="249">
        <f t="shared" si="68"/>
        <v>2017</v>
      </c>
      <c r="K224" s="249">
        <f t="shared" si="68"/>
        <v>2018</v>
      </c>
      <c r="L224" s="249">
        <f t="shared" si="68"/>
        <v>2019</v>
      </c>
      <c r="M224" s="249">
        <f t="shared" si="68"/>
        <v>2020</v>
      </c>
      <c r="N224" s="249">
        <f t="shared" si="68"/>
        <v>2021</v>
      </c>
      <c r="O224" s="249">
        <f t="shared" si="68"/>
        <v>2022</v>
      </c>
      <c r="P224" s="249">
        <f t="shared" si="68"/>
        <v>2023</v>
      </c>
      <c r="Q224" s="249">
        <f t="shared" si="68"/>
        <v>2024</v>
      </c>
      <c r="R224" s="249">
        <f t="shared" si="68"/>
        <v>2025</v>
      </c>
      <c r="S224" s="249">
        <f t="shared" si="68"/>
        <v>2026</v>
      </c>
      <c r="T224" s="249">
        <f t="shared" si="68"/>
        <v>2027</v>
      </c>
      <c r="U224" s="249">
        <f t="shared" si="68"/>
        <v>2028</v>
      </c>
    </row>
    <row r="225" spans="1:21">
      <c r="B225" s="273" t="s">
        <v>289</v>
      </c>
      <c r="C225" s="273"/>
      <c r="D225" s="179">
        <f>C251*C236/365</f>
        <v>11140.471232876713</v>
      </c>
      <c r="E225" s="199">
        <v>0</v>
      </c>
      <c r="F225" s="199">
        <f>E251*E236/365</f>
        <v>8.0654778630136992E-7</v>
      </c>
      <c r="G225" s="200">
        <f>F251*F236/365</f>
        <v>0</v>
      </c>
      <c r="H225" s="200"/>
      <c r="I225" s="200">
        <v>0</v>
      </c>
      <c r="J225" s="200">
        <v>0</v>
      </c>
      <c r="K225" s="200">
        <v>585</v>
      </c>
      <c r="L225" s="200">
        <v>1170</v>
      </c>
      <c r="M225" s="200">
        <v>1755</v>
      </c>
      <c r="N225" s="200">
        <v>2340</v>
      </c>
      <c r="O225" s="200">
        <v>2925.12</v>
      </c>
      <c r="P225" s="200">
        <v>2925.12</v>
      </c>
      <c r="Q225" s="200">
        <v>2925.12</v>
      </c>
      <c r="R225" s="200">
        <v>2925.12</v>
      </c>
      <c r="S225" s="200">
        <v>2925.12</v>
      </c>
      <c r="T225" s="200">
        <v>2925.12</v>
      </c>
      <c r="U225" s="200">
        <v>2925.12</v>
      </c>
    </row>
    <row r="226" spans="1:21">
      <c r="B226" s="273" t="s">
        <v>81</v>
      </c>
      <c r="C226" s="273"/>
      <c r="D226" s="179">
        <f>C252*C235/365</f>
        <v>0</v>
      </c>
      <c r="E226" s="199">
        <v>0</v>
      </c>
      <c r="F226" s="199">
        <f>E252*E235/365</f>
        <v>0</v>
      </c>
      <c r="G226" s="200">
        <f>F252*F235/365</f>
        <v>0</v>
      </c>
      <c r="H226" s="200"/>
      <c r="I226" s="200">
        <v>0</v>
      </c>
      <c r="J226" s="200">
        <v>0</v>
      </c>
      <c r="K226" s="200">
        <v>54910.96</v>
      </c>
      <c r="L226" s="200">
        <v>54694.18</v>
      </c>
      <c r="M226" s="200">
        <v>54475.23</v>
      </c>
      <c r="N226" s="200">
        <v>54254.09</v>
      </c>
      <c r="O226" s="200">
        <v>54030.74</v>
      </c>
      <c r="P226" s="200">
        <v>43996.94</v>
      </c>
      <c r="Q226" s="200">
        <v>31508.83</v>
      </c>
      <c r="R226" s="200">
        <v>31278.71</v>
      </c>
      <c r="S226" s="200">
        <v>31046.29</v>
      </c>
      <c r="T226" s="200">
        <v>30811.55</v>
      </c>
      <c r="U226" s="200">
        <v>-23946.09</v>
      </c>
    </row>
    <row r="227" spans="1:21">
      <c r="B227" s="273" t="s">
        <v>290</v>
      </c>
      <c r="C227" s="273"/>
      <c r="D227" s="179">
        <f>C253*C235/365</f>
        <v>0</v>
      </c>
      <c r="E227" s="199">
        <v>0</v>
      </c>
      <c r="F227" s="199">
        <f>E253*E235/365</f>
        <v>0</v>
      </c>
      <c r="G227" s="200">
        <f>F253*F235/365</f>
        <v>0</v>
      </c>
      <c r="H227" s="200"/>
      <c r="I227" s="200">
        <v>0</v>
      </c>
      <c r="J227" s="200">
        <v>0</v>
      </c>
      <c r="K227" s="200">
        <v>768753.46</v>
      </c>
      <c r="L227" s="200">
        <v>765718.52</v>
      </c>
      <c r="M227" s="200">
        <v>762653.24</v>
      </c>
      <c r="N227" s="200">
        <v>759557.31</v>
      </c>
      <c r="O227" s="200">
        <v>756430.42</v>
      </c>
      <c r="P227" s="200">
        <v>615957.18999999994</v>
      </c>
      <c r="Q227" s="200">
        <v>441123.61</v>
      </c>
      <c r="R227" s="200">
        <v>437901.97</v>
      </c>
      <c r="S227" s="200">
        <v>434648.11</v>
      </c>
      <c r="T227" s="200">
        <v>431361.72</v>
      </c>
      <c r="U227" s="200">
        <v>-335245.21000000002</v>
      </c>
    </row>
    <row r="230" spans="1:21">
      <c r="B230" s="267" t="s">
        <v>323</v>
      </c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</row>
    <row r="231" spans="1:21">
      <c r="B231" s="267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</row>
    <row r="232" spans="1:21">
      <c r="A232" s="105" t="s">
        <v>5</v>
      </c>
      <c r="B232" s="105" t="s">
        <v>310</v>
      </c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</row>
    <row r="233" spans="1:21" ht="30.6" customHeight="1">
      <c r="A233" s="287" t="s">
        <v>226</v>
      </c>
      <c r="B233" s="287" t="s">
        <v>145</v>
      </c>
      <c r="C233" s="177" t="s">
        <v>227</v>
      </c>
      <c r="D233" s="174" t="s">
        <v>151</v>
      </c>
      <c r="E233" s="174" t="s">
        <v>322</v>
      </c>
      <c r="F233" s="174" t="s">
        <v>152</v>
      </c>
      <c r="G233" s="130" t="s">
        <v>146</v>
      </c>
      <c r="H233" s="131"/>
      <c r="I233" s="132"/>
      <c r="J233" s="133" t="s">
        <v>147</v>
      </c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</row>
    <row r="234" spans="1:21" ht="20.399999999999999">
      <c r="A234" s="288"/>
      <c r="B234" s="288"/>
      <c r="C234" s="178"/>
      <c r="D234" s="175"/>
      <c r="E234" s="175"/>
      <c r="F234" s="175"/>
      <c r="G234" s="176" t="s">
        <v>231</v>
      </c>
      <c r="H234" s="176" t="s">
        <v>144</v>
      </c>
      <c r="I234" s="176" t="s">
        <v>2</v>
      </c>
      <c r="J234" s="135"/>
    </row>
    <row r="235" spans="1:21">
      <c r="A235" s="176"/>
      <c r="B235" s="176"/>
      <c r="C235" s="136"/>
      <c r="D235" s="175"/>
      <c r="E235" s="175"/>
      <c r="F235" s="175"/>
      <c r="G235" s="138">
        <f>SUM(G236:G260)</f>
        <v>1042759.76</v>
      </c>
      <c r="H235" s="138">
        <f t="shared" ref="H235:I235" si="69">SUM(H236:H260)</f>
        <v>18092.839999999997</v>
      </c>
      <c r="I235" s="138">
        <f t="shared" si="69"/>
        <v>1060852.6000000001</v>
      </c>
      <c r="J235" s="135"/>
    </row>
    <row r="236" spans="1:21">
      <c r="A236" s="139">
        <v>0</v>
      </c>
      <c r="B236" s="118">
        <f>508759.76+534000</f>
        <v>1042759.76</v>
      </c>
      <c r="C236" s="115">
        <f t="shared" ref="C236:C257" si="70">YEAR(D236)</f>
        <v>2016</v>
      </c>
      <c r="D236" s="140">
        <v>42370</v>
      </c>
      <c r="E236" s="260">
        <v>1.7003000000000001E-2</v>
      </c>
      <c r="F236" s="143">
        <f>ROUND(J235*E236*(D236-D235)/365,2)</f>
        <v>0</v>
      </c>
      <c r="G236" s="118">
        <v>0</v>
      </c>
      <c r="H236" s="118">
        <f>IF(Założenia_kredyty!$H$9="TAK",IF(D236=Założenia_kredyty!$H$6,SUM(Obliczenia_kredyty!G$5:G235),IF(D236&lt;Założenia_kredyty!$H$6,0,F236)),F236)</f>
        <v>0</v>
      </c>
      <c r="I236" s="118">
        <v>0</v>
      </c>
      <c r="J236" s="118">
        <f t="shared" ref="J236:J257" si="71">B236-G236</f>
        <v>1042759.76</v>
      </c>
    </row>
    <row r="237" spans="1:21">
      <c r="A237" s="139">
        <v>1</v>
      </c>
      <c r="B237" s="118">
        <f t="shared" ref="B237:B249" si="72">J236</f>
        <v>1042759.76</v>
      </c>
      <c r="C237" s="115">
        <f t="shared" si="70"/>
        <v>2016</v>
      </c>
      <c r="D237" s="140">
        <v>42400</v>
      </c>
      <c r="E237" s="260">
        <f t="shared" ref="E237:E247" si="73">$E$236</f>
        <v>1.7003000000000001E-2</v>
      </c>
      <c r="F237" s="143">
        <f t="shared" ref="F237:F249" si="74">ROUND(J236*E237*(D237-D236)/365,2)</f>
        <v>1457.26</v>
      </c>
      <c r="G237" s="118">
        <v>44500</v>
      </c>
      <c r="H237" s="118">
        <f t="shared" ref="H237:H247" si="75">F237</f>
        <v>1457.26</v>
      </c>
      <c r="I237" s="118">
        <f t="shared" ref="I237:I248" si="76">G237+H237</f>
        <v>45957.26</v>
      </c>
      <c r="J237" s="118">
        <f t="shared" si="71"/>
        <v>998259.76</v>
      </c>
    </row>
    <row r="238" spans="1:21">
      <c r="A238" s="139">
        <v>2</v>
      </c>
      <c r="B238" s="118">
        <f t="shared" si="72"/>
        <v>998259.76</v>
      </c>
      <c r="C238" s="115">
        <f t="shared" si="70"/>
        <v>2016</v>
      </c>
      <c r="D238" s="140">
        <v>42429</v>
      </c>
      <c r="E238" s="260">
        <f t="shared" si="73"/>
        <v>1.7003000000000001E-2</v>
      </c>
      <c r="F238" s="143">
        <f t="shared" si="74"/>
        <v>1348.57</v>
      </c>
      <c r="G238" s="118">
        <v>44500</v>
      </c>
      <c r="H238" s="118">
        <f t="shared" si="75"/>
        <v>1348.57</v>
      </c>
      <c r="I238" s="118">
        <f t="shared" si="76"/>
        <v>45848.57</v>
      </c>
      <c r="J238" s="118">
        <f t="shared" si="71"/>
        <v>953759.76</v>
      </c>
      <c r="L238" s="191"/>
    </row>
    <row r="239" spans="1:21">
      <c r="A239" s="139">
        <v>3</v>
      </c>
      <c r="B239" s="118">
        <f t="shared" si="72"/>
        <v>953759.76</v>
      </c>
      <c r="C239" s="115">
        <f t="shared" si="70"/>
        <v>2016</v>
      </c>
      <c r="D239" s="140">
        <v>42460</v>
      </c>
      <c r="E239" s="260">
        <f t="shared" si="73"/>
        <v>1.7003000000000001E-2</v>
      </c>
      <c r="F239" s="143">
        <f t="shared" si="74"/>
        <v>1377.32</v>
      </c>
      <c r="G239" s="118">
        <v>44500</v>
      </c>
      <c r="H239" s="118">
        <f t="shared" si="75"/>
        <v>1377.32</v>
      </c>
      <c r="I239" s="118">
        <f t="shared" si="76"/>
        <v>45877.32</v>
      </c>
      <c r="J239" s="118">
        <f t="shared" si="71"/>
        <v>909259.76</v>
      </c>
    </row>
    <row r="240" spans="1:21">
      <c r="A240" s="139">
        <v>4</v>
      </c>
      <c r="B240" s="118">
        <f t="shared" si="72"/>
        <v>909259.76</v>
      </c>
      <c r="C240" s="115">
        <f t="shared" si="70"/>
        <v>2016</v>
      </c>
      <c r="D240" s="140">
        <v>42490</v>
      </c>
      <c r="E240" s="260">
        <f t="shared" si="73"/>
        <v>1.7003000000000001E-2</v>
      </c>
      <c r="F240" s="143">
        <f t="shared" si="74"/>
        <v>1270.7</v>
      </c>
      <c r="G240" s="118">
        <v>44500</v>
      </c>
      <c r="H240" s="118">
        <f t="shared" si="75"/>
        <v>1270.7</v>
      </c>
      <c r="I240" s="118">
        <f t="shared" si="76"/>
        <v>45770.7</v>
      </c>
      <c r="J240" s="118">
        <f t="shared" si="71"/>
        <v>864759.76</v>
      </c>
    </row>
    <row r="241" spans="1:10">
      <c r="A241" s="139">
        <v>5</v>
      </c>
      <c r="B241" s="118">
        <f t="shared" si="72"/>
        <v>864759.76</v>
      </c>
      <c r="C241" s="115">
        <f t="shared" si="70"/>
        <v>2016</v>
      </c>
      <c r="D241" s="140">
        <v>42521</v>
      </c>
      <c r="E241" s="260">
        <f t="shared" si="73"/>
        <v>1.7003000000000001E-2</v>
      </c>
      <c r="F241" s="143">
        <f t="shared" si="74"/>
        <v>1248.79</v>
      </c>
      <c r="G241" s="118">
        <v>44500</v>
      </c>
      <c r="H241" s="118">
        <f t="shared" si="75"/>
        <v>1248.79</v>
      </c>
      <c r="I241" s="118">
        <f t="shared" si="76"/>
        <v>45748.79</v>
      </c>
      <c r="J241" s="118">
        <f t="shared" si="71"/>
        <v>820259.76</v>
      </c>
    </row>
    <row r="242" spans="1:10">
      <c r="A242" s="139">
        <v>6</v>
      </c>
      <c r="B242" s="118">
        <f t="shared" si="72"/>
        <v>820259.76</v>
      </c>
      <c r="C242" s="115">
        <f t="shared" si="70"/>
        <v>2016</v>
      </c>
      <c r="D242" s="140">
        <v>42551</v>
      </c>
      <c r="E242" s="260">
        <f t="shared" si="73"/>
        <v>1.7003000000000001E-2</v>
      </c>
      <c r="F242" s="143">
        <f t="shared" si="74"/>
        <v>1146.32</v>
      </c>
      <c r="G242" s="118">
        <v>44500</v>
      </c>
      <c r="H242" s="118">
        <f t="shared" si="75"/>
        <v>1146.32</v>
      </c>
      <c r="I242" s="118">
        <f t="shared" si="76"/>
        <v>45646.32</v>
      </c>
      <c r="J242" s="118">
        <f t="shared" si="71"/>
        <v>775759.76</v>
      </c>
    </row>
    <row r="243" spans="1:10">
      <c r="A243" s="139">
        <v>7</v>
      </c>
      <c r="B243" s="118">
        <f t="shared" si="72"/>
        <v>775759.76</v>
      </c>
      <c r="C243" s="115">
        <f t="shared" si="70"/>
        <v>2016</v>
      </c>
      <c r="D243" s="140">
        <v>42582</v>
      </c>
      <c r="E243" s="260">
        <f t="shared" si="73"/>
        <v>1.7003000000000001E-2</v>
      </c>
      <c r="F243" s="143">
        <f t="shared" si="74"/>
        <v>1120.27</v>
      </c>
      <c r="G243" s="118">
        <v>44500</v>
      </c>
      <c r="H243" s="118">
        <f t="shared" si="75"/>
        <v>1120.27</v>
      </c>
      <c r="I243" s="118">
        <f t="shared" si="76"/>
        <v>45620.27</v>
      </c>
      <c r="J243" s="118">
        <f t="shared" si="71"/>
        <v>731259.76</v>
      </c>
    </row>
    <row r="244" spans="1:10">
      <c r="A244" s="139">
        <v>8</v>
      </c>
      <c r="B244" s="118">
        <f t="shared" si="72"/>
        <v>731259.76</v>
      </c>
      <c r="C244" s="115">
        <f t="shared" si="70"/>
        <v>2016</v>
      </c>
      <c r="D244" s="140">
        <v>42613</v>
      </c>
      <c r="E244" s="260">
        <f t="shared" si="73"/>
        <v>1.7003000000000001E-2</v>
      </c>
      <c r="F244" s="143">
        <f t="shared" si="74"/>
        <v>1056.01</v>
      </c>
      <c r="G244" s="118">
        <v>44500</v>
      </c>
      <c r="H244" s="118">
        <f t="shared" si="75"/>
        <v>1056.01</v>
      </c>
      <c r="I244" s="118">
        <f t="shared" si="76"/>
        <v>45556.01</v>
      </c>
      <c r="J244" s="118">
        <f t="shared" si="71"/>
        <v>686759.76</v>
      </c>
    </row>
    <row r="245" spans="1:10">
      <c r="A245" s="139">
        <v>9</v>
      </c>
      <c r="B245" s="118">
        <f t="shared" si="72"/>
        <v>686759.76</v>
      </c>
      <c r="C245" s="115">
        <f t="shared" si="70"/>
        <v>2016</v>
      </c>
      <c r="D245" s="140">
        <v>42643</v>
      </c>
      <c r="E245" s="260">
        <f t="shared" si="73"/>
        <v>1.7003000000000001E-2</v>
      </c>
      <c r="F245" s="143">
        <f t="shared" si="74"/>
        <v>959.75</v>
      </c>
      <c r="G245" s="118">
        <v>44500</v>
      </c>
      <c r="H245" s="118">
        <f t="shared" si="75"/>
        <v>959.75</v>
      </c>
      <c r="I245" s="118">
        <f t="shared" si="76"/>
        <v>45459.75</v>
      </c>
      <c r="J245" s="118">
        <f t="shared" si="71"/>
        <v>642259.76</v>
      </c>
    </row>
    <row r="246" spans="1:10">
      <c r="A246" s="139">
        <v>10</v>
      </c>
      <c r="B246" s="118">
        <f t="shared" si="72"/>
        <v>642259.76</v>
      </c>
      <c r="C246" s="115">
        <f t="shared" si="70"/>
        <v>2016</v>
      </c>
      <c r="D246" s="140">
        <v>42674</v>
      </c>
      <c r="E246" s="260">
        <f t="shared" si="73"/>
        <v>1.7003000000000001E-2</v>
      </c>
      <c r="F246" s="143">
        <f t="shared" si="74"/>
        <v>927.48</v>
      </c>
      <c r="G246" s="118">
        <v>44500</v>
      </c>
      <c r="H246" s="118">
        <f t="shared" si="75"/>
        <v>927.48</v>
      </c>
      <c r="I246" s="118">
        <f t="shared" si="76"/>
        <v>45427.48</v>
      </c>
      <c r="J246" s="118">
        <f t="shared" si="71"/>
        <v>597759.76</v>
      </c>
    </row>
    <row r="247" spans="1:10">
      <c r="A247" s="139">
        <v>11</v>
      </c>
      <c r="B247" s="118">
        <f t="shared" si="72"/>
        <v>597759.76</v>
      </c>
      <c r="C247" s="115">
        <f t="shared" si="70"/>
        <v>2016</v>
      </c>
      <c r="D247" s="140">
        <v>42704</v>
      </c>
      <c r="E247" s="260">
        <f t="shared" si="73"/>
        <v>1.7003000000000001E-2</v>
      </c>
      <c r="F247" s="143">
        <f t="shared" si="74"/>
        <v>835.37</v>
      </c>
      <c r="G247" s="118">
        <v>44500</v>
      </c>
      <c r="H247" s="118">
        <f t="shared" si="75"/>
        <v>835.37</v>
      </c>
      <c r="I247" s="118">
        <f t="shared" si="76"/>
        <v>45335.37</v>
      </c>
      <c r="J247" s="118">
        <f t="shared" si="71"/>
        <v>553259.76</v>
      </c>
    </row>
    <row r="248" spans="1:10">
      <c r="A248" s="139">
        <v>12</v>
      </c>
      <c r="B248" s="118">
        <f t="shared" si="72"/>
        <v>553259.76</v>
      </c>
      <c r="C248" s="115">
        <f t="shared" si="70"/>
        <v>2016</v>
      </c>
      <c r="D248" s="140">
        <v>42735</v>
      </c>
      <c r="E248" s="260">
        <f>$E$236-0.000003</f>
        <v>1.7000000000000001E-2</v>
      </c>
      <c r="F248" s="143">
        <f t="shared" si="74"/>
        <v>798.82</v>
      </c>
      <c r="G248" s="118">
        <v>44500</v>
      </c>
      <c r="H248" s="118">
        <f>F248-0.02</f>
        <v>798.80000000000007</v>
      </c>
      <c r="I248" s="118">
        <f t="shared" si="76"/>
        <v>45298.8</v>
      </c>
      <c r="J248" s="118">
        <f t="shared" si="71"/>
        <v>508759.76</v>
      </c>
    </row>
    <row r="249" spans="1:10">
      <c r="A249" s="139">
        <v>13</v>
      </c>
      <c r="B249" s="118">
        <f t="shared" si="72"/>
        <v>508759.76</v>
      </c>
      <c r="C249" s="115">
        <f t="shared" si="70"/>
        <v>2017</v>
      </c>
      <c r="D249" s="140">
        <v>42766</v>
      </c>
      <c r="E249" s="260">
        <v>1.7857999999999999E-2</v>
      </c>
      <c r="F249" s="143">
        <f t="shared" si="74"/>
        <v>771.64</v>
      </c>
      <c r="G249" s="118">
        <v>44500</v>
      </c>
      <c r="H249" s="118">
        <f>F249</f>
        <v>771.64</v>
      </c>
      <c r="I249" s="118">
        <f t="shared" ref="I249:I257" si="77">G249+H249</f>
        <v>45271.64</v>
      </c>
      <c r="J249" s="118">
        <f t="shared" si="71"/>
        <v>464259.76</v>
      </c>
    </row>
    <row r="250" spans="1:10">
      <c r="A250" s="139">
        <v>14</v>
      </c>
      <c r="B250" s="118">
        <f t="shared" ref="B250:B260" si="78">J249</f>
        <v>464259.76</v>
      </c>
      <c r="C250" s="115">
        <f t="shared" si="70"/>
        <v>2017</v>
      </c>
      <c r="D250" s="140">
        <v>42794</v>
      </c>
      <c r="E250" s="260">
        <v>1.7314E-2</v>
      </c>
      <c r="F250" s="143">
        <f t="shared" ref="F250:F260" si="79">ROUND(J249*E250*(D250-D249)/365,2)</f>
        <v>616.63</v>
      </c>
      <c r="G250" s="118">
        <v>44500</v>
      </c>
      <c r="H250" s="118">
        <f>F250</f>
        <v>616.63</v>
      </c>
      <c r="I250" s="118">
        <f t="shared" si="77"/>
        <v>45116.63</v>
      </c>
      <c r="J250" s="118">
        <f t="shared" si="71"/>
        <v>419759.76</v>
      </c>
    </row>
    <row r="251" spans="1:10">
      <c r="A251" s="139">
        <v>15</v>
      </c>
      <c r="B251" s="118">
        <f t="shared" si="78"/>
        <v>419759.76</v>
      </c>
      <c r="C251" s="115">
        <f t="shared" si="70"/>
        <v>2017</v>
      </c>
      <c r="D251" s="140">
        <v>42825</v>
      </c>
      <c r="E251" s="260">
        <v>1.7314E-2</v>
      </c>
      <c r="F251" s="143">
        <f t="shared" si="79"/>
        <v>617.26</v>
      </c>
      <c r="G251" s="118">
        <v>44500</v>
      </c>
      <c r="H251" s="118">
        <f>IF(Założenia_kredyty!$H$9="TAK",IF(D251=Założenia_kredyty!$H$6,SUM(Obliczenia_kredyty!G$5:G238),IF(D251&lt;Założenia_kredyty!$H$6,0,F251)),F251)</f>
        <v>617.26</v>
      </c>
      <c r="I251" s="118">
        <f t="shared" si="77"/>
        <v>45117.26</v>
      </c>
      <c r="J251" s="118">
        <f t="shared" si="71"/>
        <v>375259.76</v>
      </c>
    </row>
    <row r="252" spans="1:10">
      <c r="A252" s="139">
        <v>16</v>
      </c>
      <c r="B252" s="118">
        <f t="shared" si="78"/>
        <v>375259.76</v>
      </c>
      <c r="C252" s="115">
        <f t="shared" si="70"/>
        <v>2017</v>
      </c>
      <c r="D252" s="140">
        <v>42855</v>
      </c>
      <c r="E252" s="260">
        <v>1.7314E-2</v>
      </c>
      <c r="F252" s="143">
        <f t="shared" si="79"/>
        <v>534.02</v>
      </c>
      <c r="G252" s="118">
        <v>44500</v>
      </c>
      <c r="H252" s="118">
        <f>IF(Założenia_kredyty!$H$9="TAK",IF(D252=Założenia_kredyty!$H$6,SUM(Obliczenia_kredyty!G$5:G239),IF(D252&lt;Założenia_kredyty!$H$6,0,F252)),F252)</f>
        <v>534.02</v>
      </c>
      <c r="I252" s="118">
        <f t="shared" si="77"/>
        <v>45034.02</v>
      </c>
      <c r="J252" s="118">
        <f t="shared" si="71"/>
        <v>330759.76</v>
      </c>
    </row>
    <row r="253" spans="1:10">
      <c r="A253" s="139">
        <v>17</v>
      </c>
      <c r="B253" s="118">
        <f t="shared" si="78"/>
        <v>330759.76</v>
      </c>
      <c r="C253" s="115">
        <f t="shared" si="70"/>
        <v>2017</v>
      </c>
      <c r="D253" s="140">
        <v>42886</v>
      </c>
      <c r="E253" s="260">
        <v>1.7314E-2</v>
      </c>
      <c r="F253" s="143">
        <f t="shared" si="79"/>
        <v>486.38</v>
      </c>
      <c r="G253" s="118">
        <v>44500</v>
      </c>
      <c r="H253" s="118">
        <f>IF(Założenia_kredyty!$H$9="TAK",IF(D253=Założenia_kredyty!$H$6,SUM(Obliczenia_kredyty!G$5:G240),IF(D253&lt;Założenia_kredyty!$H$6,0,F253)),F253)</f>
        <v>486.38</v>
      </c>
      <c r="I253" s="118">
        <f t="shared" si="77"/>
        <v>44986.38</v>
      </c>
      <c r="J253" s="118">
        <f t="shared" si="71"/>
        <v>286259.76</v>
      </c>
    </row>
    <row r="254" spans="1:10">
      <c r="A254" s="139">
        <v>18</v>
      </c>
      <c r="B254" s="118">
        <f t="shared" si="78"/>
        <v>286259.76</v>
      </c>
      <c r="C254" s="115">
        <f t="shared" si="70"/>
        <v>2017</v>
      </c>
      <c r="D254" s="140">
        <v>42916</v>
      </c>
      <c r="E254" s="260">
        <v>1.7314E-2</v>
      </c>
      <c r="F254" s="143">
        <f t="shared" si="79"/>
        <v>407.37</v>
      </c>
      <c r="G254" s="118">
        <v>44500</v>
      </c>
      <c r="H254" s="118">
        <f>IF(Założenia_kredyty!$H$9="TAK",IF(D254=Założenia_kredyty!$H$6,SUM(Obliczenia_kredyty!G$5:G241),IF(D254&lt;Założenia_kredyty!$H$6,0,F254)),F254)</f>
        <v>407.37</v>
      </c>
      <c r="I254" s="118">
        <f t="shared" si="77"/>
        <v>44907.37</v>
      </c>
      <c r="J254" s="118">
        <f t="shared" si="71"/>
        <v>241759.76</v>
      </c>
    </row>
    <row r="255" spans="1:10">
      <c r="A255" s="139">
        <v>19</v>
      </c>
      <c r="B255" s="118">
        <f t="shared" si="78"/>
        <v>241759.76</v>
      </c>
      <c r="C255" s="115">
        <f t="shared" si="70"/>
        <v>2017</v>
      </c>
      <c r="D255" s="140">
        <v>42947</v>
      </c>
      <c r="E255" s="260">
        <v>1.7314E-2</v>
      </c>
      <c r="F255" s="143">
        <f t="shared" si="79"/>
        <v>355.51</v>
      </c>
      <c r="G255" s="118">
        <v>44500</v>
      </c>
      <c r="H255" s="118">
        <f>IF(Założenia_kredyty!$H$9="TAK",IF(D255=Założenia_kredyty!$H$6,SUM(Obliczenia_kredyty!G$5:G242),IF(D255&lt;Założenia_kredyty!$H$6,0,F255)),F255)</f>
        <v>355.51</v>
      </c>
      <c r="I255" s="118">
        <f t="shared" si="77"/>
        <v>44855.51</v>
      </c>
      <c r="J255" s="118">
        <f t="shared" si="71"/>
        <v>197259.76</v>
      </c>
    </row>
    <row r="256" spans="1:10">
      <c r="A256" s="139">
        <v>20</v>
      </c>
      <c r="B256" s="118">
        <f t="shared" si="78"/>
        <v>197259.76</v>
      </c>
      <c r="C256" s="115">
        <f t="shared" si="70"/>
        <v>2017</v>
      </c>
      <c r="D256" s="140">
        <v>42978</v>
      </c>
      <c r="E256" s="260">
        <v>1.7314E-2</v>
      </c>
      <c r="F256" s="143">
        <f t="shared" si="79"/>
        <v>290.07</v>
      </c>
      <c r="G256" s="118">
        <v>44500</v>
      </c>
      <c r="H256" s="118">
        <f>IF(Założenia_kredyty!$H$9="TAK",IF(D256=Założenia_kredyty!$H$6,SUM(Obliczenia_kredyty!G$5:G243),IF(D256&lt;Założenia_kredyty!$H$6,0,F256)),F256)</f>
        <v>290.07</v>
      </c>
      <c r="I256" s="118">
        <f t="shared" si="77"/>
        <v>44790.07</v>
      </c>
      <c r="J256" s="118">
        <f t="shared" si="71"/>
        <v>152759.76</v>
      </c>
    </row>
    <row r="257" spans="1:21">
      <c r="A257" s="139">
        <v>21</v>
      </c>
      <c r="B257" s="118">
        <f t="shared" si="78"/>
        <v>152759.76</v>
      </c>
      <c r="C257" s="115">
        <f t="shared" si="70"/>
        <v>2017</v>
      </c>
      <c r="D257" s="140">
        <v>43008</v>
      </c>
      <c r="E257" s="260">
        <v>1.7314E-2</v>
      </c>
      <c r="F257" s="143">
        <f t="shared" si="79"/>
        <v>217.39</v>
      </c>
      <c r="G257" s="118">
        <v>44500</v>
      </c>
      <c r="H257" s="118">
        <f>IF(Założenia_kredyty!$H$9="TAK",IF(D257=Założenia_kredyty!$H$6,SUM(Obliczenia_kredyty!G$5:G244),IF(D257&lt;Założenia_kredyty!$H$6,0,F257)),F257)</f>
        <v>217.39</v>
      </c>
      <c r="I257" s="118">
        <f t="shared" si="77"/>
        <v>44717.39</v>
      </c>
      <c r="J257" s="118">
        <f t="shared" si="71"/>
        <v>108259.76000000001</v>
      </c>
    </row>
    <row r="258" spans="1:21">
      <c r="A258" s="139">
        <v>22</v>
      </c>
      <c r="B258" s="118">
        <f t="shared" si="78"/>
        <v>108259.76000000001</v>
      </c>
      <c r="C258" s="115">
        <f t="shared" ref="C258:C260" si="80">YEAR(D258)</f>
        <v>2017</v>
      </c>
      <c r="D258" s="140">
        <v>43039</v>
      </c>
      <c r="E258" s="260">
        <v>1.7314E-2</v>
      </c>
      <c r="F258" s="143">
        <f t="shared" si="79"/>
        <v>159.19999999999999</v>
      </c>
      <c r="G258" s="118">
        <v>44500</v>
      </c>
      <c r="H258" s="118">
        <f>IF(Założenia_kredyty!$H$9="TAK",IF(D258=Założenia_kredyty!$H$6,SUM(Obliczenia_kredyty!G$5:G245),IF(D258&lt;Założenia_kredyty!$H$6,0,F258)),F258)</f>
        <v>159.19999999999999</v>
      </c>
      <c r="I258" s="118">
        <f t="shared" ref="I258:I260" si="81">G258+H258</f>
        <v>44659.199999999997</v>
      </c>
      <c r="J258" s="118">
        <f t="shared" ref="J258:J260" si="82">B258-G258</f>
        <v>63759.760000000009</v>
      </c>
    </row>
    <row r="259" spans="1:21">
      <c r="A259" s="139">
        <v>23</v>
      </c>
      <c r="B259" s="118">
        <f t="shared" si="78"/>
        <v>63759.760000000009</v>
      </c>
      <c r="C259" s="115">
        <f t="shared" si="80"/>
        <v>2017</v>
      </c>
      <c r="D259" s="140">
        <v>43069</v>
      </c>
      <c r="E259" s="260">
        <v>1.7314E-2</v>
      </c>
      <c r="F259" s="143">
        <f t="shared" si="79"/>
        <v>90.73</v>
      </c>
      <c r="G259" s="118">
        <f>$B$236-SUM(G237:G258)</f>
        <v>63759.760000000009</v>
      </c>
      <c r="H259" s="118">
        <f>IF(Założenia_kredyty!$H$9="TAK",IF(D259=Założenia_kredyty!$H$6,SUM(Obliczenia_kredyty!G$5:G246),IF(D259&lt;Założenia_kredyty!$H$6,0,F259)),F259)</f>
        <v>90.73</v>
      </c>
      <c r="I259" s="118">
        <f t="shared" si="81"/>
        <v>63850.490000000013</v>
      </c>
      <c r="J259" s="118">
        <f t="shared" si="82"/>
        <v>0</v>
      </c>
    </row>
    <row r="260" spans="1:21">
      <c r="A260" s="139">
        <v>24</v>
      </c>
      <c r="B260" s="118">
        <f t="shared" si="78"/>
        <v>0</v>
      </c>
      <c r="C260" s="115">
        <f t="shared" si="80"/>
        <v>2017</v>
      </c>
      <c r="D260" s="140">
        <v>43100</v>
      </c>
      <c r="E260" s="260">
        <v>1.7314E-2</v>
      </c>
      <c r="F260" s="143">
        <f t="shared" si="79"/>
        <v>0</v>
      </c>
      <c r="G260" s="118"/>
      <c r="H260" s="118">
        <f>IF(Założenia_kredyty!$H$9="TAK",IF(D260=Założenia_kredyty!$H$6,SUM(Obliczenia_kredyty!G$5:G247),IF(D260&lt;Założenia_kredyty!$H$6,0,F260)),F260)</f>
        <v>0</v>
      </c>
      <c r="I260" s="118">
        <f t="shared" si="81"/>
        <v>0</v>
      </c>
      <c r="J260" s="118">
        <f t="shared" si="82"/>
        <v>0</v>
      </c>
    </row>
    <row r="261" spans="1:21">
      <c r="A261" s="250"/>
      <c r="B261" s="253"/>
      <c r="C261" s="127"/>
      <c r="D261" s="251"/>
      <c r="E261" s="266"/>
      <c r="F261" s="252"/>
      <c r="G261" s="253"/>
      <c r="H261" s="253"/>
      <c r="I261" s="253"/>
      <c r="J261" s="253"/>
    </row>
    <row r="262" spans="1:21" s="16" customFormat="1"/>
    <row r="263" spans="1:21" s="16" customFormat="1">
      <c r="A263" s="16" t="s">
        <v>327</v>
      </c>
      <c r="B263" s="16" t="s">
        <v>319</v>
      </c>
    </row>
    <row r="264" spans="1:21" s="16" customFormat="1">
      <c r="B264" s="31" t="s">
        <v>315</v>
      </c>
      <c r="C264" s="31"/>
      <c r="D264" s="31">
        <v>2011</v>
      </c>
      <c r="E264" s="31">
        <v>2012</v>
      </c>
      <c r="F264" s="31">
        <v>2013</v>
      </c>
      <c r="G264" s="31">
        <v>2014</v>
      </c>
      <c r="H264" s="31">
        <v>2015</v>
      </c>
      <c r="I264" s="31">
        <v>2016</v>
      </c>
      <c r="J264" s="31">
        <v>2017</v>
      </c>
      <c r="K264" s="31">
        <v>2018</v>
      </c>
      <c r="L264" s="31">
        <v>2019</v>
      </c>
      <c r="M264" s="31">
        <v>2020</v>
      </c>
      <c r="N264" s="31">
        <v>2021</v>
      </c>
      <c r="O264" s="31">
        <v>2022</v>
      </c>
      <c r="P264" s="31">
        <v>2023</v>
      </c>
      <c r="Q264" s="31">
        <v>2024</v>
      </c>
      <c r="R264" s="31">
        <v>2025</v>
      </c>
      <c r="S264" s="31">
        <v>2026</v>
      </c>
      <c r="T264" s="31">
        <v>2027</v>
      </c>
      <c r="U264" s="31">
        <v>2028</v>
      </c>
    </row>
    <row r="265" spans="1:21" s="16" customFormat="1">
      <c r="B265" s="257" t="s">
        <v>321</v>
      </c>
      <c r="C265" s="73">
        <f>B236</f>
        <v>1042759.76</v>
      </c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</row>
    <row r="266" spans="1:21" s="16" customFormat="1">
      <c r="B266" s="257" t="s">
        <v>312</v>
      </c>
      <c r="C266" s="73"/>
      <c r="D266" s="73"/>
      <c r="E266" s="73"/>
      <c r="F266" s="73"/>
      <c r="G266" s="73"/>
      <c r="H266" s="73"/>
      <c r="I266" s="73">
        <f>SUMIF($C236:$C260,I$264,$G236:$G260)</f>
        <v>534000</v>
      </c>
      <c r="J266" s="73">
        <f>SUMIF($C236:$C260,J$264,$G236:$G260)</f>
        <v>508759.76</v>
      </c>
      <c r="K266" s="73">
        <f>SUMIF($C236:$C260,K$264,$G236:$G260)</f>
        <v>0</v>
      </c>
      <c r="L266" s="73"/>
      <c r="M266" s="73"/>
      <c r="N266" s="73"/>
      <c r="O266" s="73"/>
      <c r="P266" s="73"/>
      <c r="Q266" s="73"/>
      <c r="R266" s="73"/>
      <c r="S266" s="73"/>
      <c r="T266" s="73"/>
      <c r="U266" s="73"/>
    </row>
    <row r="267" spans="1:21" s="16" customFormat="1">
      <c r="B267" s="257" t="s">
        <v>314</v>
      </c>
      <c r="C267" s="73"/>
      <c r="D267" s="73"/>
      <c r="E267" s="73"/>
      <c r="F267" s="73"/>
      <c r="G267" s="73"/>
      <c r="H267" s="73"/>
      <c r="I267" s="73">
        <f>SUMIF($C236:$C260,I$264,$H236:$H260)</f>
        <v>13546.64</v>
      </c>
      <c r="J267" s="73">
        <f>SUMIF($C236:$C260,J$264,$H236:$H260)</f>
        <v>4546.2</v>
      </c>
      <c r="K267" s="73">
        <v>0</v>
      </c>
      <c r="L267" s="73"/>
      <c r="M267" s="73"/>
      <c r="N267" s="73"/>
      <c r="O267" s="73"/>
      <c r="P267" s="73"/>
      <c r="Q267" s="73"/>
      <c r="R267" s="73"/>
      <c r="S267" s="73"/>
      <c r="T267" s="73"/>
      <c r="U267" s="73"/>
    </row>
    <row r="268" spans="1:21" s="16" customFormat="1" ht="13.8">
      <c r="B268" s="258"/>
      <c r="C268" s="259"/>
      <c r="D268" s="259"/>
      <c r="E268" s="259"/>
      <c r="F268" s="259"/>
      <c r="G268" s="259"/>
      <c r="H268" s="259"/>
      <c r="I268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</row>
    <row r="269" spans="1:21" s="16" customFormat="1">
      <c r="A269" s="16" t="s">
        <v>7</v>
      </c>
      <c r="B269" s="16" t="s">
        <v>313</v>
      </c>
    </row>
    <row r="270" spans="1:21" s="16" customFormat="1">
      <c r="B270" s="31" t="s">
        <v>315</v>
      </c>
      <c r="C270" s="31"/>
      <c r="D270" s="31">
        <v>2011</v>
      </c>
      <c r="E270" s="31">
        <v>2012</v>
      </c>
      <c r="F270" s="31">
        <v>2013</v>
      </c>
      <c r="G270" s="31">
        <v>2014</v>
      </c>
      <c r="H270" s="31">
        <v>2015</v>
      </c>
      <c r="I270" s="31">
        <v>2016</v>
      </c>
      <c r="J270" s="31">
        <v>2017</v>
      </c>
      <c r="K270" s="31">
        <v>2018</v>
      </c>
      <c r="L270" s="31">
        <v>2019</v>
      </c>
      <c r="M270" s="31">
        <v>2020</v>
      </c>
      <c r="N270" s="31">
        <v>2021</v>
      </c>
      <c r="O270" s="31">
        <v>2022</v>
      </c>
      <c r="P270" s="31">
        <v>2023</v>
      </c>
      <c r="Q270" s="31">
        <v>2024</v>
      </c>
      <c r="R270" s="31">
        <v>2025</v>
      </c>
      <c r="S270" s="31">
        <v>2026</v>
      </c>
      <c r="T270" s="31">
        <v>2027</v>
      </c>
      <c r="U270" s="31">
        <v>2028</v>
      </c>
    </row>
    <row r="271" spans="1:21" s="16" customFormat="1">
      <c r="B271" s="257" t="s">
        <v>311</v>
      </c>
      <c r="C271" s="73">
        <v>576930.1</v>
      </c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</row>
    <row r="272" spans="1:21" s="16" customFormat="1">
      <c r="B272" s="257" t="s">
        <v>312</v>
      </c>
      <c r="C272" s="73"/>
      <c r="D272" s="73"/>
      <c r="E272" s="73"/>
      <c r="F272" s="73"/>
      <c r="G272" s="73"/>
      <c r="H272" s="73"/>
      <c r="I272" s="73"/>
      <c r="J272" s="73">
        <f>26286.35*12</f>
        <v>315436.19999999995</v>
      </c>
      <c r="K272" s="73">
        <f>C271-J272</f>
        <v>261493.90000000002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</row>
    <row r="273" spans="1:21" s="16" customFormat="1">
      <c r="B273" s="257" t="s">
        <v>314</v>
      </c>
      <c r="C273" s="73"/>
      <c r="D273" s="73"/>
      <c r="E273" s="73"/>
      <c r="F273" s="73"/>
      <c r="G273" s="73"/>
      <c r="H273" s="73"/>
      <c r="I273" s="73">
        <v>0</v>
      </c>
      <c r="J273" s="73">
        <v>0</v>
      </c>
      <c r="K273" s="73">
        <v>0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</row>
    <row r="274" spans="1:21" s="16" customFormat="1"/>
    <row r="275" spans="1:21" s="16" customFormat="1"/>
    <row r="276" spans="1:21" s="16" customFormat="1">
      <c r="A276" s="16" t="s">
        <v>8</v>
      </c>
      <c r="B276" s="16" t="s">
        <v>316</v>
      </c>
    </row>
    <row r="277" spans="1:21" s="16" customFormat="1">
      <c r="B277" s="31" t="s">
        <v>315</v>
      </c>
      <c r="C277" s="31"/>
      <c r="D277" s="31">
        <v>2011</v>
      </c>
      <c r="E277" s="31">
        <v>2012</v>
      </c>
      <c r="F277" s="31">
        <v>2013</v>
      </c>
      <c r="G277" s="31">
        <v>2014</v>
      </c>
      <c r="H277" s="31">
        <v>2015</v>
      </c>
      <c r="I277" s="31">
        <v>2016</v>
      </c>
      <c r="J277" s="31">
        <v>2017</v>
      </c>
      <c r="K277" s="31">
        <v>2018</v>
      </c>
      <c r="L277" s="31">
        <v>2019</v>
      </c>
      <c r="M277" s="31">
        <v>2020</v>
      </c>
      <c r="N277" s="31">
        <v>2021</v>
      </c>
      <c r="O277" s="31">
        <v>2022</v>
      </c>
      <c r="P277" s="31">
        <v>2023</v>
      </c>
      <c r="Q277" s="31">
        <v>2024</v>
      </c>
      <c r="R277" s="31">
        <v>2025</v>
      </c>
      <c r="S277" s="31">
        <v>2026</v>
      </c>
      <c r="T277" s="31">
        <v>2027</v>
      </c>
      <c r="U277" s="31">
        <v>2028</v>
      </c>
    </row>
    <row r="278" spans="1:21" s="16" customFormat="1">
      <c r="B278" s="257" t="s">
        <v>311</v>
      </c>
      <c r="C278" s="73">
        <v>39532.199999999997</v>
      </c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</row>
    <row r="279" spans="1:21" s="16" customFormat="1">
      <c r="B279" s="257" t="s">
        <v>312</v>
      </c>
      <c r="C279" s="73"/>
      <c r="D279" s="73"/>
      <c r="E279" s="73"/>
      <c r="F279" s="73"/>
      <c r="G279" s="73"/>
      <c r="H279" s="73"/>
      <c r="I279" s="73"/>
      <c r="J279" s="73">
        <f>C278</f>
        <v>39532.199999999997</v>
      </c>
      <c r="K279" s="73">
        <f>C278-J279</f>
        <v>0</v>
      </c>
      <c r="L279" s="73"/>
      <c r="M279" s="73"/>
      <c r="N279" s="73"/>
      <c r="O279" s="73"/>
      <c r="P279" s="73"/>
      <c r="Q279" s="73"/>
      <c r="R279" s="73"/>
      <c r="S279" s="73"/>
      <c r="T279" s="73"/>
      <c r="U279" s="73"/>
    </row>
    <row r="280" spans="1:21" s="16" customFormat="1">
      <c r="B280" s="257" t="s">
        <v>314</v>
      </c>
      <c r="C280" s="73"/>
      <c r="D280" s="73"/>
      <c r="E280" s="73"/>
      <c r="F280" s="73"/>
      <c r="G280" s="73"/>
      <c r="H280" s="73"/>
      <c r="I280" s="73">
        <v>0</v>
      </c>
      <c r="J280" s="73">
        <v>0</v>
      </c>
      <c r="K280" s="73">
        <v>0</v>
      </c>
      <c r="L280" s="73"/>
      <c r="M280" s="73"/>
      <c r="N280" s="73"/>
      <c r="O280" s="73"/>
      <c r="P280" s="73"/>
      <c r="Q280" s="73"/>
      <c r="R280" s="73"/>
      <c r="S280" s="73"/>
      <c r="T280" s="73"/>
      <c r="U280" s="73"/>
    </row>
    <row r="281" spans="1:21" s="16" customFormat="1"/>
    <row r="282" spans="1:21" s="16" customFormat="1"/>
    <row r="283" spans="1:21" s="16" customFormat="1">
      <c r="A283" s="16" t="s">
        <v>9</v>
      </c>
      <c r="B283" s="16" t="s">
        <v>317</v>
      </c>
    </row>
    <row r="284" spans="1:21" s="16" customFormat="1">
      <c r="B284" s="31" t="s">
        <v>315</v>
      </c>
      <c r="C284" s="31"/>
      <c r="D284" s="31">
        <v>2011</v>
      </c>
      <c r="E284" s="31">
        <v>2012</v>
      </c>
      <c r="F284" s="31">
        <v>2013</v>
      </c>
      <c r="G284" s="31">
        <v>2014</v>
      </c>
      <c r="H284" s="31">
        <v>2015</v>
      </c>
      <c r="I284" s="31">
        <v>2016</v>
      </c>
      <c r="J284" s="31">
        <v>2017</v>
      </c>
      <c r="K284" s="31">
        <v>2018</v>
      </c>
      <c r="L284" s="31">
        <v>2019</v>
      </c>
      <c r="M284" s="31">
        <v>2020</v>
      </c>
      <c r="N284" s="31">
        <v>2021</v>
      </c>
      <c r="O284" s="31">
        <v>2022</v>
      </c>
      <c r="P284" s="31">
        <v>2023</v>
      </c>
      <c r="Q284" s="31">
        <v>2024</v>
      </c>
      <c r="R284" s="31">
        <v>2025</v>
      </c>
      <c r="S284" s="31">
        <v>2026</v>
      </c>
      <c r="T284" s="31">
        <v>2027</v>
      </c>
      <c r="U284" s="31">
        <v>2028</v>
      </c>
    </row>
    <row r="285" spans="1:21" s="16" customFormat="1">
      <c r="B285" s="257" t="s">
        <v>311</v>
      </c>
      <c r="C285" s="73">
        <v>1119995.8799999999</v>
      </c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</row>
    <row r="286" spans="1:21" s="16" customFormat="1">
      <c r="B286" s="257" t="s">
        <v>312</v>
      </c>
      <c r="C286" s="73"/>
      <c r="D286" s="73"/>
      <c r="E286" s="73"/>
      <c r="F286" s="73"/>
      <c r="G286" s="73"/>
      <c r="H286" s="73"/>
      <c r="I286" s="73"/>
      <c r="J286" s="73">
        <f>86665.98*6</f>
        <v>519995.88</v>
      </c>
      <c r="K286" s="73">
        <f>C285-J286</f>
        <v>599999.99999999988</v>
      </c>
      <c r="L286" s="73"/>
      <c r="M286" s="73"/>
      <c r="N286" s="73"/>
      <c r="O286" s="73"/>
      <c r="P286" s="73"/>
      <c r="Q286" s="73"/>
      <c r="R286" s="73"/>
      <c r="S286" s="73"/>
      <c r="T286" s="73"/>
      <c r="U286" s="73"/>
    </row>
    <row r="287" spans="1:21" s="16" customFormat="1">
      <c r="B287" s="257" t="s">
        <v>314</v>
      </c>
      <c r="C287" s="73"/>
      <c r="D287" s="73"/>
      <c r="E287" s="73"/>
      <c r="F287" s="73"/>
      <c r="G287" s="73"/>
      <c r="H287" s="73"/>
      <c r="I287" s="73">
        <v>0</v>
      </c>
      <c r="J287" s="73">
        <v>0</v>
      </c>
      <c r="K287" s="73">
        <v>0</v>
      </c>
      <c r="L287" s="73"/>
      <c r="M287" s="73"/>
      <c r="N287" s="73"/>
      <c r="O287" s="73"/>
      <c r="P287" s="73"/>
      <c r="Q287" s="73"/>
      <c r="R287" s="73"/>
      <c r="S287" s="73"/>
      <c r="T287" s="73"/>
      <c r="U287" s="73"/>
    </row>
    <row r="288" spans="1:21" s="16" customFormat="1">
      <c r="B288" s="258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</row>
    <row r="289" spans="1:21" s="16" customFormat="1">
      <c r="B289" s="258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</row>
    <row r="290" spans="1:21" s="16" customFormat="1">
      <c r="A290" s="16" t="s">
        <v>21</v>
      </c>
      <c r="B290" s="16" t="s">
        <v>318</v>
      </c>
    </row>
    <row r="291" spans="1:21" s="16" customFormat="1">
      <c r="B291" s="31" t="s">
        <v>315</v>
      </c>
      <c r="C291" s="31"/>
      <c r="D291" s="31">
        <v>2011</v>
      </c>
      <c r="E291" s="31">
        <v>2012</v>
      </c>
      <c r="F291" s="31">
        <v>2013</v>
      </c>
      <c r="G291" s="31">
        <v>2014</v>
      </c>
      <c r="H291" s="31">
        <v>2015</v>
      </c>
      <c r="I291" s="31">
        <v>2016</v>
      </c>
      <c r="J291" s="31">
        <v>2017</v>
      </c>
      <c r="K291" s="31">
        <v>2018</v>
      </c>
      <c r="L291" s="31">
        <v>2019</v>
      </c>
      <c r="M291" s="31">
        <v>2020</v>
      </c>
      <c r="N291" s="31">
        <v>2021</v>
      </c>
      <c r="O291" s="31">
        <v>2022</v>
      </c>
      <c r="P291" s="31">
        <v>2023</v>
      </c>
      <c r="Q291" s="31">
        <v>2024</v>
      </c>
      <c r="R291" s="31">
        <v>2025</v>
      </c>
      <c r="S291" s="31">
        <v>2026</v>
      </c>
      <c r="T291" s="31">
        <v>2027</v>
      </c>
      <c r="U291" s="31">
        <v>2028</v>
      </c>
    </row>
    <row r="292" spans="1:21" s="16" customFormat="1">
      <c r="B292" s="257" t="s">
        <v>311</v>
      </c>
      <c r="C292" s="73">
        <v>794663.65</v>
      </c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</row>
    <row r="293" spans="1:21" s="16" customFormat="1">
      <c r="B293" s="257" t="s">
        <v>312</v>
      </c>
      <c r="C293" s="73"/>
      <c r="D293" s="73"/>
      <c r="E293" s="73"/>
      <c r="F293" s="73"/>
      <c r="G293" s="73"/>
      <c r="H293" s="73"/>
      <c r="I293" s="73"/>
      <c r="J293" s="73">
        <v>0</v>
      </c>
      <c r="K293" s="73">
        <f>C292-J293</f>
        <v>794663.65</v>
      </c>
      <c r="L293" s="73"/>
      <c r="M293" s="73"/>
      <c r="N293" s="73"/>
      <c r="O293" s="73"/>
      <c r="P293" s="73"/>
      <c r="Q293" s="73"/>
      <c r="R293" s="73"/>
      <c r="S293" s="73"/>
      <c r="T293" s="73"/>
      <c r="U293" s="73"/>
    </row>
    <row r="294" spans="1:21" s="16" customFormat="1">
      <c r="B294" s="257" t="s">
        <v>314</v>
      </c>
      <c r="C294" s="73"/>
      <c r="D294" s="73"/>
      <c r="E294" s="73"/>
      <c r="F294" s="73"/>
      <c r="G294" s="73"/>
      <c r="H294" s="73"/>
      <c r="I294" s="73">
        <v>0</v>
      </c>
      <c r="J294" s="73">
        <v>0</v>
      </c>
      <c r="K294" s="73">
        <v>0</v>
      </c>
      <c r="L294" s="73"/>
      <c r="M294" s="73"/>
      <c r="N294" s="73"/>
      <c r="O294" s="73"/>
      <c r="P294" s="73"/>
      <c r="Q294" s="73"/>
      <c r="R294" s="73"/>
      <c r="S294" s="73"/>
      <c r="T294" s="73"/>
      <c r="U294" s="73"/>
    </row>
    <row r="295" spans="1:21" s="16" customFormat="1">
      <c r="B295" s="258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</row>
    <row r="296" spans="1:21" s="16" customFormat="1">
      <c r="B296" s="258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</row>
    <row r="297" spans="1:21" s="16" customFormat="1">
      <c r="A297" s="16" t="s">
        <v>23</v>
      </c>
      <c r="B297" s="16" t="s">
        <v>328</v>
      </c>
    </row>
    <row r="298" spans="1:21">
      <c r="A298" s="30" t="s">
        <v>0</v>
      </c>
      <c r="B298" s="31" t="s">
        <v>4</v>
      </c>
      <c r="C298" s="31"/>
      <c r="D298" s="31" t="s">
        <v>181</v>
      </c>
      <c r="E298" s="31">
        <v>2012</v>
      </c>
      <c r="F298" s="31">
        <v>2013</v>
      </c>
      <c r="G298" s="31">
        <v>2014</v>
      </c>
      <c r="H298" s="31">
        <v>2015</v>
      </c>
      <c r="I298" s="31">
        <v>2016</v>
      </c>
      <c r="J298" s="31">
        <v>2017</v>
      </c>
      <c r="K298" s="31">
        <v>2018</v>
      </c>
      <c r="L298" s="31">
        <v>2019</v>
      </c>
      <c r="M298" s="31">
        <v>2020</v>
      </c>
      <c r="N298" s="31">
        <v>2021</v>
      </c>
      <c r="O298" s="31">
        <v>2022</v>
      </c>
      <c r="P298" s="31">
        <v>2023</v>
      </c>
      <c r="Q298" s="31">
        <v>2024</v>
      </c>
      <c r="R298" s="31">
        <v>2025</v>
      </c>
      <c r="S298" s="31">
        <v>2026</v>
      </c>
      <c r="T298" s="31">
        <v>2027</v>
      </c>
      <c r="U298" s="31">
        <v>2028</v>
      </c>
    </row>
    <row r="299" spans="1:21">
      <c r="A299" s="261" t="s">
        <v>6</v>
      </c>
      <c r="B299" s="262" t="s">
        <v>191</v>
      </c>
      <c r="C299" s="263"/>
      <c r="D299" s="264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</row>
    <row r="300" spans="1:21">
      <c r="A300" s="24"/>
      <c r="B300" s="25"/>
      <c r="C300" s="25"/>
      <c r="D300" s="26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</row>
    <row r="301" spans="1:21">
      <c r="A301" s="56"/>
      <c r="B301" s="55" t="s">
        <v>192</v>
      </c>
      <c r="C301" s="55"/>
      <c r="D301" s="57" t="s">
        <v>16</v>
      </c>
      <c r="E301" s="55"/>
      <c r="F301" s="55"/>
      <c r="G301" s="59"/>
      <c r="H301" s="89"/>
      <c r="I301" s="89">
        <f>H304</f>
        <v>3088650.83</v>
      </c>
      <c r="J301" s="89">
        <f>I304</f>
        <v>2554650.83</v>
      </c>
      <c r="K301" s="89">
        <f>J304</f>
        <v>1170926.79</v>
      </c>
      <c r="L301" s="89"/>
      <c r="M301" s="89"/>
      <c r="N301" s="89"/>
      <c r="O301" s="89"/>
      <c r="P301" s="89"/>
      <c r="Q301" s="89"/>
      <c r="R301" s="89"/>
      <c r="S301" s="89"/>
      <c r="T301" s="89"/>
      <c r="U301" s="89"/>
    </row>
    <row r="302" spans="1:21">
      <c r="A302" s="56"/>
      <c r="B302" s="55" t="s">
        <v>193</v>
      </c>
      <c r="C302" s="55"/>
      <c r="D302" s="57" t="s">
        <v>16</v>
      </c>
      <c r="E302" s="55"/>
      <c r="F302" s="55"/>
      <c r="G302" s="55"/>
      <c r="H302" s="89">
        <f>Założenia_kredyty!I277</f>
        <v>0</v>
      </c>
      <c r="I302" s="89">
        <f>Założenia_kredyty!J277</f>
        <v>0</v>
      </c>
      <c r="J302" s="89">
        <f>Założenia_kredyty!K277</f>
        <v>0</v>
      </c>
      <c r="K302" s="89">
        <f>Założenia_kredyty!L277</f>
        <v>0</v>
      </c>
      <c r="L302" s="89">
        <f>Założenia_kredyty!M277</f>
        <v>0</v>
      </c>
      <c r="M302" s="89">
        <f>Założenia_kredyty!N277</f>
        <v>0</v>
      </c>
      <c r="N302" s="89">
        <f>Założenia_kredyty!O277</f>
        <v>0</v>
      </c>
      <c r="O302" s="89">
        <f>Założenia_kredyty!P277</f>
        <v>0</v>
      </c>
      <c r="P302" s="89">
        <f>Założenia_kredyty!Q277</f>
        <v>0</v>
      </c>
      <c r="Q302" s="89">
        <f>Założenia_kredyty!R277</f>
        <v>0</v>
      </c>
      <c r="R302" s="89">
        <f>Założenia_kredyty!S277</f>
        <v>0</v>
      </c>
      <c r="S302" s="89">
        <f>Założenia_kredyty!T277</f>
        <v>0</v>
      </c>
      <c r="T302" s="89">
        <f>Założenia_kredyty!U277</f>
        <v>0</v>
      </c>
      <c r="U302" s="89">
        <f>Założenia_kredyty!V277</f>
        <v>0</v>
      </c>
    </row>
    <row r="303" spans="1:21">
      <c r="A303" s="56"/>
      <c r="B303" s="55" t="s">
        <v>194</v>
      </c>
      <c r="C303" s="55"/>
      <c r="D303" s="57" t="s">
        <v>16</v>
      </c>
      <c r="E303" s="55"/>
      <c r="F303" s="55"/>
      <c r="G303" s="59"/>
      <c r="H303" s="89">
        <v>0</v>
      </c>
      <c r="I303" s="89">
        <f>I266+I272+I279+I286+I293</f>
        <v>534000</v>
      </c>
      <c r="J303" s="89">
        <f>J266+J272+J279+J286+J293</f>
        <v>1383724.04</v>
      </c>
      <c r="K303" s="89">
        <f>H304-SUM(I303:J303)</f>
        <v>1170926.79</v>
      </c>
      <c r="L303" s="89">
        <v>0</v>
      </c>
      <c r="M303" s="89">
        <v>0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</row>
    <row r="304" spans="1:21">
      <c r="A304" s="56"/>
      <c r="B304" s="55" t="s">
        <v>195</v>
      </c>
      <c r="C304" s="55"/>
      <c r="D304" s="57" t="s">
        <v>16</v>
      </c>
      <c r="E304" s="55"/>
      <c r="F304" s="55"/>
      <c r="G304" s="59"/>
      <c r="H304" s="89">
        <f>2554650.83+534000</f>
        <v>3088650.83</v>
      </c>
      <c r="I304" s="89">
        <f>I301+I302-I303</f>
        <v>2554650.83</v>
      </c>
      <c r="J304" s="89">
        <f t="shared" ref="J304:U304" si="83">I304+J302-J303</f>
        <v>1170926.79</v>
      </c>
      <c r="K304" s="89">
        <f t="shared" si="83"/>
        <v>0</v>
      </c>
      <c r="L304" s="89">
        <f t="shared" si="83"/>
        <v>0</v>
      </c>
      <c r="M304" s="89">
        <f t="shared" si="83"/>
        <v>0</v>
      </c>
      <c r="N304" s="89">
        <f t="shared" si="83"/>
        <v>0</v>
      </c>
      <c r="O304" s="89">
        <f t="shared" si="83"/>
        <v>0</v>
      </c>
      <c r="P304" s="89">
        <f t="shared" si="83"/>
        <v>0</v>
      </c>
      <c r="Q304" s="89">
        <f t="shared" si="83"/>
        <v>0</v>
      </c>
      <c r="R304" s="89">
        <f t="shared" si="83"/>
        <v>0</v>
      </c>
      <c r="S304" s="89">
        <f t="shared" si="83"/>
        <v>0</v>
      </c>
      <c r="T304" s="89">
        <f t="shared" si="83"/>
        <v>0</v>
      </c>
      <c r="U304" s="89">
        <f t="shared" si="83"/>
        <v>0</v>
      </c>
    </row>
    <row r="305" spans="1:21">
      <c r="A305" s="42"/>
      <c r="B305" s="43" t="s">
        <v>196</v>
      </c>
      <c r="C305" s="43"/>
      <c r="D305" s="44" t="s">
        <v>16</v>
      </c>
      <c r="E305" s="43"/>
      <c r="F305" s="43"/>
      <c r="G305" s="43"/>
      <c r="H305" s="265">
        <f t="shared" ref="H305:U305" si="84">ROUND(H304*H307,0)</f>
        <v>0</v>
      </c>
      <c r="I305" s="265">
        <f>I267+I273+I280+I287+I294</f>
        <v>13546.64</v>
      </c>
      <c r="J305" s="265">
        <f t="shared" ref="J305:K305" si="85">J267+J273+J280+J287+J294</f>
        <v>4546.2</v>
      </c>
      <c r="K305" s="265">
        <f t="shared" si="85"/>
        <v>0</v>
      </c>
      <c r="L305" s="265">
        <f t="shared" si="84"/>
        <v>0</v>
      </c>
      <c r="M305" s="265">
        <f t="shared" si="84"/>
        <v>0</v>
      </c>
      <c r="N305" s="265">
        <f t="shared" si="84"/>
        <v>0</v>
      </c>
      <c r="O305" s="265">
        <f t="shared" si="84"/>
        <v>0</v>
      </c>
      <c r="P305" s="265">
        <f t="shared" si="84"/>
        <v>0</v>
      </c>
      <c r="Q305" s="265">
        <f t="shared" si="84"/>
        <v>0</v>
      </c>
      <c r="R305" s="265">
        <f t="shared" si="84"/>
        <v>0</v>
      </c>
      <c r="S305" s="265">
        <f t="shared" si="84"/>
        <v>0</v>
      </c>
      <c r="T305" s="265">
        <f t="shared" si="84"/>
        <v>0</v>
      </c>
      <c r="U305" s="265">
        <f t="shared" si="84"/>
        <v>0</v>
      </c>
    </row>
    <row r="306" spans="1:21">
      <c r="A306" s="268"/>
      <c r="B306" s="269" t="s">
        <v>204</v>
      </c>
      <c r="C306" s="269"/>
      <c r="D306" s="23" t="s">
        <v>16</v>
      </c>
      <c r="E306" s="270"/>
      <c r="F306" s="270"/>
      <c r="G306" s="270"/>
      <c r="H306" s="271">
        <f>I303</f>
        <v>534000</v>
      </c>
      <c r="I306" s="271">
        <f t="shared" ref="I306:K306" si="86">J303</f>
        <v>1383724.04</v>
      </c>
      <c r="J306" s="271">
        <f t="shared" si="86"/>
        <v>1170926.79</v>
      </c>
      <c r="K306" s="271">
        <f t="shared" si="86"/>
        <v>0</v>
      </c>
      <c r="L306" s="270"/>
      <c r="M306" s="270"/>
      <c r="N306" s="270"/>
      <c r="O306" s="270"/>
      <c r="P306" s="270"/>
      <c r="Q306" s="270"/>
      <c r="R306" s="270"/>
      <c r="S306" s="270"/>
      <c r="T306" s="270"/>
      <c r="U306" s="272"/>
    </row>
  </sheetData>
  <mergeCells count="142">
    <mergeCell ref="B233:B234"/>
    <mergeCell ref="A233:A234"/>
    <mergeCell ref="B5:C5"/>
    <mergeCell ref="B108:C108"/>
    <mergeCell ref="B125:C125"/>
    <mergeCell ref="B126:C126"/>
    <mergeCell ref="B124:C124"/>
    <mergeCell ref="B76:C76"/>
    <mergeCell ref="B123:C123"/>
    <mergeCell ref="B133:C133"/>
    <mergeCell ref="B90:C90"/>
    <mergeCell ref="B65:C65"/>
    <mergeCell ref="B96:C96"/>
    <mergeCell ref="B131:C131"/>
    <mergeCell ref="B107:C107"/>
    <mergeCell ref="B77:C77"/>
    <mergeCell ref="B57:C57"/>
    <mergeCell ref="B78:C78"/>
    <mergeCell ref="B51:C51"/>
    <mergeCell ref="B52:C52"/>
    <mergeCell ref="B53:C53"/>
    <mergeCell ref="B64:C64"/>
    <mergeCell ref="B142:C142"/>
    <mergeCell ref="B181:C181"/>
    <mergeCell ref="B185:C185"/>
    <mergeCell ref="B150:C150"/>
    <mergeCell ref="B98:C98"/>
    <mergeCell ref="B104:C104"/>
    <mergeCell ref="B135:C135"/>
    <mergeCell ref="B137:C137"/>
    <mergeCell ref="B138:C138"/>
    <mergeCell ref="B139:C139"/>
    <mergeCell ref="B140:C140"/>
    <mergeCell ref="B173:C173"/>
    <mergeCell ref="B174:C174"/>
    <mergeCell ref="B180:C180"/>
    <mergeCell ref="B132:C132"/>
    <mergeCell ref="B170:C170"/>
    <mergeCell ref="B134:C134"/>
    <mergeCell ref="B152:C152"/>
    <mergeCell ref="B105:C105"/>
    <mergeCell ref="B106:C106"/>
    <mergeCell ref="B147:C147"/>
    <mergeCell ref="B148:C148"/>
    <mergeCell ref="B149:C149"/>
    <mergeCell ref="D15:D16"/>
    <mergeCell ref="B75:C75"/>
    <mergeCell ref="B58:C58"/>
    <mergeCell ref="B46:C46"/>
    <mergeCell ref="B114:C114"/>
    <mergeCell ref="B115:C115"/>
    <mergeCell ref="B116:C116"/>
    <mergeCell ref="B120:C120"/>
    <mergeCell ref="B121:C121"/>
    <mergeCell ref="B109:C109"/>
    <mergeCell ref="B110:C110"/>
    <mergeCell ref="B111:C111"/>
    <mergeCell ref="B112:C112"/>
    <mergeCell ref="B113:C113"/>
    <mergeCell ref="B56:C56"/>
    <mergeCell ref="B49:C49"/>
    <mergeCell ref="B50:C50"/>
    <mergeCell ref="B45:C45"/>
    <mergeCell ref="B97:C97"/>
    <mergeCell ref="E15:G15"/>
    <mergeCell ref="B171:C171"/>
    <mergeCell ref="B172:C172"/>
    <mergeCell ref="B47:C47"/>
    <mergeCell ref="B48:C48"/>
    <mergeCell ref="B66:C66"/>
    <mergeCell ref="B67:C67"/>
    <mergeCell ref="B68:C68"/>
    <mergeCell ref="B59:C59"/>
    <mergeCell ref="B60:C60"/>
    <mergeCell ref="B61:C61"/>
    <mergeCell ref="B62:C62"/>
    <mergeCell ref="B63:C63"/>
    <mergeCell ref="B89:C89"/>
    <mergeCell ref="B91:C91"/>
    <mergeCell ref="B92:C92"/>
    <mergeCell ref="B54:C54"/>
    <mergeCell ref="B55:C55"/>
    <mergeCell ref="B130:C130"/>
    <mergeCell ref="B69:C69"/>
    <mergeCell ref="B73:C73"/>
    <mergeCell ref="B143:C143"/>
    <mergeCell ref="B145:C145"/>
    <mergeCell ref="B74:C74"/>
    <mergeCell ref="A15:A16"/>
    <mergeCell ref="B15:B16"/>
    <mergeCell ref="C15:C16"/>
    <mergeCell ref="B176:C176"/>
    <mergeCell ref="B175:C175"/>
    <mergeCell ref="B86:C86"/>
    <mergeCell ref="B87:C87"/>
    <mergeCell ref="B88:C88"/>
    <mergeCell ref="B99:C99"/>
    <mergeCell ref="B100:C100"/>
    <mergeCell ref="B101:C101"/>
    <mergeCell ref="B102:C102"/>
    <mergeCell ref="B93:C93"/>
    <mergeCell ref="B103:C103"/>
    <mergeCell ref="B94:C94"/>
    <mergeCell ref="B95:C95"/>
    <mergeCell ref="B128:C128"/>
    <mergeCell ref="B129:C129"/>
    <mergeCell ref="B127:C127"/>
    <mergeCell ref="B44:C44"/>
    <mergeCell ref="B153:C153"/>
    <mergeCell ref="B154:C154"/>
    <mergeCell ref="B146:C146"/>
    <mergeCell ref="B151:C151"/>
    <mergeCell ref="B208:C208"/>
    <mergeCell ref="B209:C209"/>
    <mergeCell ref="B210:C210"/>
    <mergeCell ref="B211:C211"/>
    <mergeCell ref="B212:C212"/>
    <mergeCell ref="B213:C213"/>
    <mergeCell ref="B214:C214"/>
    <mergeCell ref="B189:C189"/>
    <mergeCell ref="B190:C190"/>
    <mergeCell ref="B191:C191"/>
    <mergeCell ref="B194:C194"/>
    <mergeCell ref="B201:C201"/>
    <mergeCell ref="B202:C202"/>
    <mergeCell ref="B192:C192"/>
    <mergeCell ref="B193:C193"/>
    <mergeCell ref="B200:C200"/>
    <mergeCell ref="B199:C199"/>
    <mergeCell ref="B203:C203"/>
    <mergeCell ref="B204:C204"/>
    <mergeCell ref="B198:C198"/>
    <mergeCell ref="B205:C205"/>
    <mergeCell ref="B215:C215"/>
    <mergeCell ref="B218:C218"/>
    <mergeCell ref="B219:C219"/>
    <mergeCell ref="B220:C220"/>
    <mergeCell ref="B221:C221"/>
    <mergeCell ref="B224:C224"/>
    <mergeCell ref="B225:C225"/>
    <mergeCell ref="B226:C226"/>
    <mergeCell ref="B227:C227"/>
  </mergeCells>
  <conditionalFormatting sqref="E97:H97">
    <cfRule type="cellIs" dxfId="1" priority="2" operator="equal">
      <formula>0</formula>
    </cfRule>
  </conditionalFormatting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V115"/>
  <sheetViews>
    <sheetView showGridLines="0" zoomScaleNormal="10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M21" sqref="M21"/>
    </sheetView>
  </sheetViews>
  <sheetFormatPr defaultColWidth="8.69921875" defaultRowHeight="10.199999999999999"/>
  <cols>
    <col min="1" max="1" width="3.19921875" style="16" customWidth="1"/>
    <col min="2" max="2" width="43.3984375" style="16" bestFit="1" customWidth="1"/>
    <col min="3" max="3" width="4.5" style="16" customWidth="1"/>
    <col min="4" max="6" width="8.69921875" style="16"/>
    <col min="7" max="8" width="8.8984375" style="16" bestFit="1" customWidth="1"/>
    <col min="9" max="9" width="9.19921875" style="16" bestFit="1" customWidth="1"/>
    <col min="10" max="10" width="8.8984375" style="16" bestFit="1" customWidth="1"/>
    <col min="11" max="11" width="8.69921875" style="16"/>
    <col min="12" max="21" width="9.59765625" style="16" bestFit="1" customWidth="1"/>
    <col min="22" max="16384" width="8.69921875" style="16"/>
  </cols>
  <sheetData>
    <row r="1" spans="1:21">
      <c r="E1" s="83">
        <v>2012</v>
      </c>
      <c r="F1" s="83">
        <v>2013</v>
      </c>
      <c r="G1" s="83">
        <v>2014</v>
      </c>
      <c r="H1" s="83">
        <v>2015</v>
      </c>
      <c r="I1" s="83">
        <v>2016</v>
      </c>
      <c r="J1" s="83">
        <v>2017</v>
      </c>
      <c r="K1" s="83">
        <v>2018</v>
      </c>
      <c r="L1" s="83">
        <v>2019</v>
      </c>
      <c r="M1" s="83">
        <v>2020</v>
      </c>
      <c r="N1" s="83">
        <v>2021</v>
      </c>
      <c r="O1" s="83">
        <v>2022</v>
      </c>
      <c r="P1" s="83">
        <v>2023</v>
      </c>
      <c r="Q1" s="83">
        <v>2024</v>
      </c>
      <c r="R1" s="83">
        <v>2025</v>
      </c>
      <c r="S1" s="83">
        <v>2026</v>
      </c>
      <c r="T1" s="83">
        <v>2027</v>
      </c>
      <c r="U1" s="83">
        <v>2028</v>
      </c>
    </row>
    <row r="4" spans="1:21">
      <c r="A4" s="18"/>
      <c r="B4" s="34" t="s">
        <v>209</v>
      </c>
      <c r="C4" s="34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>
      <c r="A5" s="30" t="s">
        <v>0</v>
      </c>
      <c r="B5" s="31" t="s">
        <v>4</v>
      </c>
      <c r="C5" s="31"/>
      <c r="D5" s="31" t="s">
        <v>181</v>
      </c>
      <c r="E5" s="31">
        <f t="shared" ref="E5:U5" si="0">E$1</f>
        <v>2012</v>
      </c>
      <c r="F5" s="31">
        <f t="shared" si="0"/>
        <v>2013</v>
      </c>
      <c r="G5" s="31">
        <f t="shared" si="0"/>
        <v>2014</v>
      </c>
      <c r="H5" s="31">
        <f t="shared" si="0"/>
        <v>2015</v>
      </c>
      <c r="I5" s="31">
        <f t="shared" si="0"/>
        <v>2016</v>
      </c>
      <c r="J5" s="31">
        <f t="shared" si="0"/>
        <v>2017</v>
      </c>
      <c r="K5" s="31">
        <f t="shared" si="0"/>
        <v>2018</v>
      </c>
      <c r="L5" s="31">
        <f t="shared" si="0"/>
        <v>2019</v>
      </c>
      <c r="M5" s="31">
        <f t="shared" si="0"/>
        <v>2020</v>
      </c>
      <c r="N5" s="31">
        <f t="shared" si="0"/>
        <v>2021</v>
      </c>
      <c r="O5" s="31">
        <f t="shared" si="0"/>
        <v>2022</v>
      </c>
      <c r="P5" s="31">
        <f t="shared" si="0"/>
        <v>2023</v>
      </c>
      <c r="Q5" s="31">
        <f t="shared" si="0"/>
        <v>2024</v>
      </c>
      <c r="R5" s="31">
        <f t="shared" si="0"/>
        <v>2025</v>
      </c>
      <c r="S5" s="31">
        <f t="shared" si="0"/>
        <v>2026</v>
      </c>
      <c r="T5" s="31">
        <f t="shared" si="0"/>
        <v>2027</v>
      </c>
      <c r="U5" s="31">
        <f t="shared" si="0"/>
        <v>2028</v>
      </c>
    </row>
    <row r="6" spans="1:21">
      <c r="A6" s="21">
        <v>1</v>
      </c>
      <c r="B6" s="22" t="s">
        <v>182</v>
      </c>
      <c r="C6" s="22"/>
      <c r="D6" s="23" t="s">
        <v>16</v>
      </c>
      <c r="E6" s="35">
        <f>Założenia!E171</f>
        <v>0</v>
      </c>
      <c r="F6" s="35">
        <f>Założenia!F171</f>
        <v>0</v>
      </c>
      <c r="G6" s="47">
        <f>Założenia!G171</f>
        <v>4586.17</v>
      </c>
      <c r="H6" s="47">
        <f>Założenia!H171</f>
        <v>0</v>
      </c>
      <c r="I6" s="36">
        <f t="shared" ref="I6:U6" si="1">H6-I17</f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  <c r="Q6" s="36">
        <f t="shared" si="1"/>
        <v>0</v>
      </c>
      <c r="R6" s="36">
        <f t="shared" si="1"/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</row>
    <row r="7" spans="1:21">
      <c r="A7" s="21">
        <v>2</v>
      </c>
      <c r="B7" s="22" t="s">
        <v>183</v>
      </c>
      <c r="C7" s="22"/>
      <c r="D7" s="23" t="s">
        <v>16</v>
      </c>
      <c r="E7" s="35">
        <f>Założenia!E172</f>
        <v>0</v>
      </c>
      <c r="F7" s="35">
        <f>Założenia!F172</f>
        <v>0</v>
      </c>
      <c r="G7" s="47">
        <f>Założenia!G172</f>
        <v>1367461.68</v>
      </c>
      <c r="H7" s="47">
        <f>Założenia!H172</f>
        <v>1366502.78</v>
      </c>
      <c r="I7" s="36">
        <f t="shared" ref="I7:U7" si="2">H7-I18</f>
        <v>1365543.8800000001</v>
      </c>
      <c r="J7" s="36">
        <f t="shared" si="2"/>
        <v>1364584.9800000002</v>
      </c>
      <c r="K7" s="36">
        <f t="shared" si="2"/>
        <v>1363626.0800000003</v>
      </c>
      <c r="L7" s="36">
        <f t="shared" si="2"/>
        <v>1362667.1800000004</v>
      </c>
      <c r="M7" s="36">
        <f t="shared" si="2"/>
        <v>1361708.2800000005</v>
      </c>
      <c r="N7" s="36">
        <f t="shared" si="2"/>
        <v>1360749.3800000006</v>
      </c>
      <c r="O7" s="36">
        <f t="shared" si="2"/>
        <v>1359790.4800000007</v>
      </c>
      <c r="P7" s="36">
        <f t="shared" si="2"/>
        <v>1358831.5800000008</v>
      </c>
      <c r="Q7" s="36">
        <f t="shared" si="2"/>
        <v>1357872.6800000009</v>
      </c>
      <c r="R7" s="36">
        <f t="shared" si="2"/>
        <v>1356913.780000001</v>
      </c>
      <c r="S7" s="36">
        <f t="shared" si="2"/>
        <v>1355954.8800000011</v>
      </c>
      <c r="T7" s="36">
        <f t="shared" si="2"/>
        <v>1354995.9800000011</v>
      </c>
      <c r="U7" s="36">
        <f t="shared" si="2"/>
        <v>1354037.0800000012</v>
      </c>
    </row>
    <row r="8" spans="1:21">
      <c r="A8" s="21">
        <v>3</v>
      </c>
      <c r="B8" s="22" t="s">
        <v>184</v>
      </c>
      <c r="C8" s="22"/>
      <c r="D8" s="23" t="s">
        <v>16</v>
      </c>
      <c r="E8" s="35">
        <f>Założenia!E173</f>
        <v>0</v>
      </c>
      <c r="F8" s="35">
        <f>Założenia!F173</f>
        <v>0</v>
      </c>
      <c r="G8" s="47">
        <f>Założenia!G173</f>
        <v>2419170.67</v>
      </c>
      <c r="H8" s="47">
        <f>Założenia!H173</f>
        <v>2425665.69</v>
      </c>
      <c r="I8" s="36">
        <f t="shared" ref="I8:U8" si="3">H8-I19</f>
        <v>2300281.85</v>
      </c>
      <c r="J8" s="36">
        <f t="shared" si="3"/>
        <v>2174898.0100000002</v>
      </c>
      <c r="K8" s="36">
        <f t="shared" si="3"/>
        <v>2049514.1700000002</v>
      </c>
      <c r="L8" s="36">
        <f t="shared" si="3"/>
        <v>1924130.33</v>
      </c>
      <c r="M8" s="36">
        <f t="shared" si="3"/>
        <v>1798746.49</v>
      </c>
      <c r="N8" s="36">
        <f t="shared" si="3"/>
        <v>1673362.65</v>
      </c>
      <c r="O8" s="36">
        <f t="shared" si="3"/>
        <v>1547978.8099999998</v>
      </c>
      <c r="P8" s="36">
        <f t="shared" si="3"/>
        <v>1422594.9699999997</v>
      </c>
      <c r="Q8" s="36">
        <f t="shared" si="3"/>
        <v>1297211.1299999997</v>
      </c>
      <c r="R8" s="36">
        <f t="shared" si="3"/>
        <v>1171827.2899999996</v>
      </c>
      <c r="S8" s="36">
        <f t="shared" si="3"/>
        <v>1046443.4499999996</v>
      </c>
      <c r="T8" s="36">
        <f t="shared" si="3"/>
        <v>921059.60999999964</v>
      </c>
      <c r="U8" s="36">
        <f t="shared" si="3"/>
        <v>795675.76999999967</v>
      </c>
    </row>
    <row r="9" spans="1:21">
      <c r="A9" s="21">
        <v>4</v>
      </c>
      <c r="B9" s="22" t="s">
        <v>185</v>
      </c>
      <c r="C9" s="22"/>
      <c r="D9" s="23" t="s">
        <v>16</v>
      </c>
      <c r="E9" s="35">
        <f>Założenia!E174</f>
        <v>0</v>
      </c>
      <c r="F9" s="35">
        <f>Założenia!F174</f>
        <v>0</v>
      </c>
      <c r="G9" s="47">
        <f>Założenia!G174</f>
        <v>1609177.33</v>
      </c>
      <c r="H9" s="47">
        <f>Założenia!H174</f>
        <v>1869402.35</v>
      </c>
      <c r="I9" s="36">
        <f t="shared" ref="I9:U9" si="4">H9-I20</f>
        <v>1393632.61</v>
      </c>
      <c r="J9" s="36">
        <f t="shared" si="4"/>
        <v>917862.87000000011</v>
      </c>
      <c r="K9" s="36">
        <f t="shared" si="4"/>
        <v>442093.13000000012</v>
      </c>
      <c r="L9" s="36">
        <f t="shared" si="4"/>
        <v>0</v>
      </c>
      <c r="M9" s="36">
        <f t="shared" si="4"/>
        <v>0</v>
      </c>
      <c r="N9" s="36">
        <f t="shared" si="4"/>
        <v>0</v>
      </c>
      <c r="O9" s="36">
        <f t="shared" si="4"/>
        <v>0</v>
      </c>
      <c r="P9" s="36">
        <f t="shared" si="4"/>
        <v>0</v>
      </c>
      <c r="Q9" s="36">
        <f t="shared" si="4"/>
        <v>0</v>
      </c>
      <c r="R9" s="36">
        <f t="shared" si="4"/>
        <v>0</v>
      </c>
      <c r="S9" s="36">
        <f t="shared" si="4"/>
        <v>0</v>
      </c>
      <c r="T9" s="36">
        <f t="shared" si="4"/>
        <v>0</v>
      </c>
      <c r="U9" s="36">
        <f t="shared" si="4"/>
        <v>0</v>
      </c>
    </row>
    <row r="10" spans="1:21">
      <c r="A10" s="21">
        <v>5</v>
      </c>
      <c r="B10" s="22" t="s">
        <v>186</v>
      </c>
      <c r="C10" s="22"/>
      <c r="D10" s="23" t="s">
        <v>16</v>
      </c>
      <c r="E10" s="35">
        <f>Założenia!E175</f>
        <v>0</v>
      </c>
      <c r="F10" s="35">
        <f>Założenia!F175</f>
        <v>0</v>
      </c>
      <c r="G10" s="47">
        <f>Założenia!G175</f>
        <v>18082450.079999998</v>
      </c>
      <c r="H10" s="47">
        <f>Założenia!H175</f>
        <v>17274901.239999998</v>
      </c>
      <c r="I10" s="36">
        <f t="shared" ref="I10:U10" si="5">H10-I21</f>
        <v>13713844.899999999</v>
      </c>
      <c r="J10" s="36">
        <f t="shared" si="5"/>
        <v>10152788.559999999</v>
      </c>
      <c r="K10" s="36">
        <f t="shared" si="5"/>
        <v>6591732.2199999988</v>
      </c>
      <c r="L10" s="36">
        <f t="shared" si="5"/>
        <v>3030675.879999999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6">
        <f t="shared" si="5"/>
        <v>0</v>
      </c>
      <c r="Q10" s="36">
        <f t="shared" si="5"/>
        <v>0</v>
      </c>
      <c r="R10" s="36">
        <f t="shared" si="5"/>
        <v>0</v>
      </c>
      <c r="S10" s="36">
        <f t="shared" si="5"/>
        <v>0</v>
      </c>
      <c r="T10" s="36">
        <f t="shared" si="5"/>
        <v>0</v>
      </c>
      <c r="U10" s="36">
        <f t="shared" si="5"/>
        <v>0</v>
      </c>
    </row>
    <row r="11" spans="1:21" ht="10.8" thickBot="1">
      <c r="A11" s="24">
        <v>6</v>
      </c>
      <c r="B11" s="25" t="s">
        <v>187</v>
      </c>
      <c r="C11" s="25"/>
      <c r="D11" s="26" t="s">
        <v>16</v>
      </c>
      <c r="E11" s="35">
        <f>Założenia!E176</f>
        <v>0</v>
      </c>
      <c r="F11" s="35">
        <f>Założenia!F176</f>
        <v>0</v>
      </c>
      <c r="G11" s="47">
        <f>Założenia!G176</f>
        <v>203298.21</v>
      </c>
      <c r="H11" s="47">
        <f>Założenia!H176</f>
        <v>433689.43</v>
      </c>
      <c r="I11" s="36">
        <f t="shared" ref="I11:U11" si="6">H11-I22</f>
        <v>400156.17</v>
      </c>
      <c r="J11" s="36">
        <f t="shared" si="6"/>
        <v>366622.91</v>
      </c>
      <c r="K11" s="36">
        <f t="shared" si="6"/>
        <v>333089.64999999997</v>
      </c>
      <c r="L11" s="36">
        <f t="shared" si="6"/>
        <v>0</v>
      </c>
      <c r="M11" s="36">
        <f t="shared" si="6"/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</row>
    <row r="12" spans="1:21" ht="10.8" thickBot="1">
      <c r="A12" s="27">
        <v>7</v>
      </c>
      <c r="B12" s="28" t="s">
        <v>2</v>
      </c>
      <c r="C12" s="28"/>
      <c r="D12" s="84" t="s">
        <v>16</v>
      </c>
      <c r="E12" s="29">
        <f t="shared" ref="E12:U12" si="7">SUM(E6:E11)</f>
        <v>0</v>
      </c>
      <c r="F12" s="37">
        <f t="shared" si="7"/>
        <v>0</v>
      </c>
      <c r="G12" s="37">
        <f t="shared" si="7"/>
        <v>23686144.140000001</v>
      </c>
      <c r="H12" s="37">
        <f t="shared" si="7"/>
        <v>23370161.489999998</v>
      </c>
      <c r="I12" s="37">
        <f t="shared" si="7"/>
        <v>19173459.41</v>
      </c>
      <c r="J12" s="37">
        <f t="shared" si="7"/>
        <v>14976757.329999998</v>
      </c>
      <c r="K12" s="37">
        <f t="shared" si="7"/>
        <v>10780055.25</v>
      </c>
      <c r="L12" s="37">
        <f t="shared" si="7"/>
        <v>6317473.3899999997</v>
      </c>
      <c r="M12" s="37">
        <f t="shared" si="7"/>
        <v>3160454.7700000005</v>
      </c>
      <c r="N12" s="37">
        <f t="shared" si="7"/>
        <v>3034112.0300000003</v>
      </c>
      <c r="O12" s="37">
        <f t="shared" si="7"/>
        <v>2907769.2900000005</v>
      </c>
      <c r="P12" s="37">
        <f t="shared" si="7"/>
        <v>2781426.5500000007</v>
      </c>
      <c r="Q12" s="37">
        <f t="shared" si="7"/>
        <v>2655083.8100000005</v>
      </c>
      <c r="R12" s="37">
        <f t="shared" si="7"/>
        <v>2528741.0700000003</v>
      </c>
      <c r="S12" s="37">
        <f t="shared" si="7"/>
        <v>2402398.3300000005</v>
      </c>
      <c r="T12" s="37">
        <f t="shared" si="7"/>
        <v>2276055.5900000008</v>
      </c>
      <c r="U12" s="37">
        <f t="shared" si="7"/>
        <v>2149712.850000001</v>
      </c>
    </row>
    <row r="13" spans="1:21">
      <c r="A13" s="18"/>
      <c r="B13" s="20"/>
      <c r="C13" s="2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>
      <c r="A14" s="18"/>
      <c r="B14" s="20"/>
      <c r="C14" s="20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>
      <c r="A15" s="18"/>
      <c r="B15" s="34" t="s">
        <v>210</v>
      </c>
      <c r="C15" s="34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>
      <c r="A16" s="30" t="s">
        <v>0</v>
      </c>
      <c r="B16" s="31" t="s">
        <v>4</v>
      </c>
      <c r="C16" s="31"/>
      <c r="D16" s="31" t="s">
        <v>181</v>
      </c>
      <c r="E16" s="31">
        <f t="shared" ref="E16:U16" si="8">E$1</f>
        <v>2012</v>
      </c>
      <c r="F16" s="31">
        <f t="shared" si="8"/>
        <v>2013</v>
      </c>
      <c r="G16" s="31">
        <f t="shared" si="8"/>
        <v>2014</v>
      </c>
      <c r="H16" s="31">
        <f t="shared" si="8"/>
        <v>2015</v>
      </c>
      <c r="I16" s="31">
        <f t="shared" si="8"/>
        <v>2016</v>
      </c>
      <c r="J16" s="31">
        <f t="shared" si="8"/>
        <v>2017</v>
      </c>
      <c r="K16" s="31">
        <f t="shared" si="8"/>
        <v>2018</v>
      </c>
      <c r="L16" s="31">
        <f t="shared" si="8"/>
        <v>2019</v>
      </c>
      <c r="M16" s="31">
        <f t="shared" si="8"/>
        <v>2020</v>
      </c>
      <c r="N16" s="31">
        <f t="shared" si="8"/>
        <v>2021</v>
      </c>
      <c r="O16" s="31">
        <f t="shared" si="8"/>
        <v>2022</v>
      </c>
      <c r="P16" s="31">
        <f t="shared" si="8"/>
        <v>2023</v>
      </c>
      <c r="Q16" s="31">
        <f t="shared" si="8"/>
        <v>2024</v>
      </c>
      <c r="R16" s="31">
        <f t="shared" si="8"/>
        <v>2025</v>
      </c>
      <c r="S16" s="31">
        <f t="shared" si="8"/>
        <v>2026</v>
      </c>
      <c r="T16" s="31">
        <f t="shared" si="8"/>
        <v>2027</v>
      </c>
      <c r="U16" s="31">
        <f t="shared" si="8"/>
        <v>2028</v>
      </c>
    </row>
    <row r="17" spans="1:21">
      <c r="A17" s="21">
        <v>1</v>
      </c>
      <c r="B17" s="22" t="s">
        <v>182</v>
      </c>
      <c r="C17" s="22"/>
      <c r="D17" s="23" t="s">
        <v>16</v>
      </c>
      <c r="E17" s="36"/>
      <c r="F17" s="36"/>
      <c r="G17" s="36"/>
      <c r="H17" s="36"/>
      <c r="I17" s="36">
        <f>IF(H6-Założenia!$F160&gt;0,Założenia!$F160,H6)</f>
        <v>0</v>
      </c>
      <c r="J17" s="36">
        <f>IF(I6-Założenia!$F160&gt;0,Założenia!$F160,I6)</f>
        <v>0</v>
      </c>
      <c r="K17" s="36">
        <f>IF(J6-Założenia!$F160&gt;0,Założenia!$F160,J6)</f>
        <v>0</v>
      </c>
      <c r="L17" s="36">
        <f>IF(K6-Założenia!$F160&gt;0,Założenia!$F160,K6)</f>
        <v>0</v>
      </c>
      <c r="M17" s="36">
        <f>IF(L6-Założenia!$F160&gt;0,Założenia!$F160,L6)</f>
        <v>0</v>
      </c>
      <c r="N17" s="36">
        <f>IF(M6-Założenia!$F160&gt;0,Założenia!$F160,M6)</f>
        <v>0</v>
      </c>
      <c r="O17" s="36">
        <f>IF(N6-Założenia!$F160&gt;0,Założenia!$F160,N6)</f>
        <v>0</v>
      </c>
      <c r="P17" s="36">
        <f>IF(O6-Założenia!$F160&gt;0,Założenia!$F160,O6)</f>
        <v>0</v>
      </c>
      <c r="Q17" s="36">
        <f>IF(P6-Założenia!$F160&gt;0,Założenia!$F160,P6)</f>
        <v>0</v>
      </c>
      <c r="R17" s="36">
        <f>IF(Q6-Założenia!$F160&gt;0,Założenia!$F160,Q6)</f>
        <v>0</v>
      </c>
      <c r="S17" s="36">
        <f>IF(R6-Założenia!$F160&gt;0,Założenia!$F160,R6)</f>
        <v>0</v>
      </c>
      <c r="T17" s="36">
        <f>IF(S6-Założenia!$F160&gt;0,Założenia!$F160,S6)</f>
        <v>0</v>
      </c>
      <c r="U17" s="36">
        <f>IF(T6-Założenia!$F160&gt;0,Założenia!$F160,T6)</f>
        <v>0</v>
      </c>
    </row>
    <row r="18" spans="1:21">
      <c r="A18" s="21">
        <v>2</v>
      </c>
      <c r="B18" s="22" t="s">
        <v>183</v>
      </c>
      <c r="C18" s="22"/>
      <c r="D18" s="23" t="s">
        <v>16</v>
      </c>
      <c r="E18" s="36"/>
      <c r="F18" s="36"/>
      <c r="G18" s="36"/>
      <c r="H18" s="36"/>
      <c r="I18" s="36">
        <f t="shared" ref="I18:U18" si="9">ROUND(G7-H7,2)</f>
        <v>958.9</v>
      </c>
      <c r="J18" s="36">
        <f t="shared" si="9"/>
        <v>958.9</v>
      </c>
      <c r="K18" s="36">
        <f t="shared" si="9"/>
        <v>958.9</v>
      </c>
      <c r="L18" s="36">
        <f t="shared" si="9"/>
        <v>958.9</v>
      </c>
      <c r="M18" s="36">
        <f t="shared" si="9"/>
        <v>958.9</v>
      </c>
      <c r="N18" s="36">
        <f t="shared" si="9"/>
        <v>958.9</v>
      </c>
      <c r="O18" s="36">
        <f t="shared" si="9"/>
        <v>958.9</v>
      </c>
      <c r="P18" s="36">
        <f t="shared" si="9"/>
        <v>958.9</v>
      </c>
      <c r="Q18" s="36">
        <f t="shared" si="9"/>
        <v>958.9</v>
      </c>
      <c r="R18" s="36">
        <f t="shared" si="9"/>
        <v>958.9</v>
      </c>
      <c r="S18" s="36">
        <f t="shared" si="9"/>
        <v>958.9</v>
      </c>
      <c r="T18" s="36">
        <f t="shared" si="9"/>
        <v>958.9</v>
      </c>
      <c r="U18" s="36">
        <f t="shared" si="9"/>
        <v>958.9</v>
      </c>
    </row>
    <row r="19" spans="1:21">
      <c r="A19" s="21">
        <v>3</v>
      </c>
      <c r="B19" s="22" t="s">
        <v>184</v>
      </c>
      <c r="C19" s="22"/>
      <c r="D19" s="23" t="s">
        <v>16</v>
      </c>
      <c r="E19" s="36"/>
      <c r="F19" s="36"/>
      <c r="G19" s="36"/>
      <c r="H19" s="36"/>
      <c r="I19" s="36">
        <v>125383.84</v>
      </c>
      <c r="J19" s="36">
        <v>125383.84</v>
      </c>
      <c r="K19" s="36">
        <v>125383.84</v>
      </c>
      <c r="L19" s="36">
        <v>125383.84</v>
      </c>
      <c r="M19" s="36">
        <v>125383.84</v>
      </c>
      <c r="N19" s="36">
        <v>125383.84</v>
      </c>
      <c r="O19" s="36">
        <v>125383.84</v>
      </c>
      <c r="P19" s="36">
        <v>125383.84</v>
      </c>
      <c r="Q19" s="36">
        <v>125383.84</v>
      </c>
      <c r="R19" s="36">
        <v>125383.84</v>
      </c>
      <c r="S19" s="36">
        <v>125383.84</v>
      </c>
      <c r="T19" s="36">
        <v>125383.84</v>
      </c>
      <c r="U19" s="36">
        <v>125383.84</v>
      </c>
    </row>
    <row r="20" spans="1:21">
      <c r="A20" s="21">
        <v>4</v>
      </c>
      <c r="B20" s="22" t="s">
        <v>185</v>
      </c>
      <c r="C20" s="22"/>
      <c r="D20" s="23" t="s">
        <v>16</v>
      </c>
      <c r="E20" s="36"/>
      <c r="F20" s="36"/>
      <c r="G20" s="36"/>
      <c r="H20" s="36"/>
      <c r="I20" s="36">
        <v>475769.74</v>
      </c>
      <c r="J20" s="36">
        <v>475769.74</v>
      </c>
      <c r="K20" s="36">
        <v>475769.74</v>
      </c>
      <c r="L20" s="36">
        <f>K9</f>
        <v>442093.13000000012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>
      <c r="A21" s="21">
        <v>5</v>
      </c>
      <c r="B21" s="22" t="s">
        <v>186</v>
      </c>
      <c r="C21" s="22"/>
      <c r="D21" s="23" t="s">
        <v>16</v>
      </c>
      <c r="E21" s="36"/>
      <c r="F21" s="36"/>
      <c r="G21" s="36"/>
      <c r="H21" s="36"/>
      <c r="I21" s="36">
        <v>3561056.34</v>
      </c>
      <c r="J21" s="36">
        <v>3561056.34</v>
      </c>
      <c r="K21" s="36">
        <v>3561056.34</v>
      </c>
      <c r="L21" s="36">
        <v>3561056.34</v>
      </c>
      <c r="M21" s="36">
        <f>L10</f>
        <v>3030675.879999999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</row>
    <row r="22" spans="1:21" ht="10.8" thickBot="1">
      <c r="A22" s="24">
        <v>6</v>
      </c>
      <c r="B22" s="25" t="s">
        <v>187</v>
      </c>
      <c r="C22" s="25"/>
      <c r="D22" s="26" t="s">
        <v>16</v>
      </c>
      <c r="E22" s="38"/>
      <c r="F22" s="38"/>
      <c r="G22" s="36"/>
      <c r="H22" s="36"/>
      <c r="I22" s="36">
        <v>33533.26</v>
      </c>
      <c r="J22" s="36">
        <v>33533.26</v>
      </c>
      <c r="K22" s="36">
        <v>33533.26</v>
      </c>
      <c r="L22" s="36">
        <f>K11</f>
        <v>333089.64999999997</v>
      </c>
      <c r="M22" s="36">
        <f>IF(L11-Założenia!$F165&gt;0,Założenia!$F165,L11)</f>
        <v>0</v>
      </c>
      <c r="N22" s="36">
        <f>IF(M11-Założenia!$F165&gt;0,Założenia!$F165,M11)</f>
        <v>0</v>
      </c>
      <c r="O22" s="36">
        <f>IF(N11-Założenia!$F165&gt;0,Założenia!$F165,N11)</f>
        <v>0</v>
      </c>
      <c r="P22" s="36">
        <f>IF(O11-Założenia!$F165&gt;0,Założenia!$F165,O11)</f>
        <v>0</v>
      </c>
      <c r="Q22" s="36">
        <f>IF(P11-Założenia!$F165&gt;0,Założenia!$F165,P11)</f>
        <v>0</v>
      </c>
      <c r="R22" s="36">
        <f>IF(Q11-Założenia!$F165&gt;0,Założenia!$F165,Q11)</f>
        <v>0</v>
      </c>
      <c r="S22" s="36">
        <f>IF(R11-Założenia!$F165&gt;0,Założenia!$F165,R11)</f>
        <v>0</v>
      </c>
      <c r="T22" s="36">
        <f>IF(S11-Założenia!$F165&gt;0,Założenia!$F165,S11)</f>
        <v>0</v>
      </c>
      <c r="U22" s="36">
        <f>IF(T11-Założenia!$F165&gt;0,Założenia!$F165,T11)</f>
        <v>0</v>
      </c>
    </row>
    <row r="23" spans="1:21" ht="10.8" thickBot="1">
      <c r="A23" s="27">
        <v>7</v>
      </c>
      <c r="B23" s="28" t="s">
        <v>2</v>
      </c>
      <c r="C23" s="28"/>
      <c r="D23" s="84" t="s">
        <v>16</v>
      </c>
      <c r="E23" s="37">
        <f t="shared" ref="E23:U23" si="10">SUM(E17:E22)</f>
        <v>0</v>
      </c>
      <c r="F23" s="37">
        <f t="shared" si="10"/>
        <v>0</v>
      </c>
      <c r="G23" s="37">
        <f t="shared" si="10"/>
        <v>0</v>
      </c>
      <c r="H23" s="37">
        <f t="shared" si="10"/>
        <v>0</v>
      </c>
      <c r="I23" s="37">
        <f t="shared" si="10"/>
        <v>4196702.08</v>
      </c>
      <c r="J23" s="37">
        <f t="shared" si="10"/>
        <v>4196702.08</v>
      </c>
      <c r="K23" s="37">
        <f t="shared" si="10"/>
        <v>4196702.08</v>
      </c>
      <c r="L23" s="37">
        <f t="shared" si="10"/>
        <v>4462581.8600000003</v>
      </c>
      <c r="M23" s="37">
        <f t="shared" si="10"/>
        <v>3157018.6199999992</v>
      </c>
      <c r="N23" s="37">
        <f t="shared" si="10"/>
        <v>126342.73999999999</v>
      </c>
      <c r="O23" s="37">
        <f t="shared" si="10"/>
        <v>126342.73999999999</v>
      </c>
      <c r="P23" s="37">
        <f t="shared" si="10"/>
        <v>126342.73999999999</v>
      </c>
      <c r="Q23" s="37">
        <f t="shared" si="10"/>
        <v>126342.73999999999</v>
      </c>
      <c r="R23" s="37">
        <f t="shared" si="10"/>
        <v>126342.73999999999</v>
      </c>
      <c r="S23" s="37">
        <f t="shared" si="10"/>
        <v>126342.73999999999</v>
      </c>
      <c r="T23" s="37">
        <f t="shared" si="10"/>
        <v>126342.73999999999</v>
      </c>
      <c r="U23" s="37">
        <f t="shared" si="10"/>
        <v>126342.73999999999</v>
      </c>
    </row>
    <row r="24" spans="1:21">
      <c r="A24" s="18"/>
      <c r="B24" s="20"/>
      <c r="C24" s="20"/>
      <c r="D24" s="19"/>
      <c r="E24" s="20"/>
      <c r="F24" s="20"/>
      <c r="G24" s="20"/>
      <c r="H24" s="3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18"/>
      <c r="B25" s="20"/>
      <c r="C25" s="20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18"/>
      <c r="B26" s="34" t="s">
        <v>211</v>
      </c>
      <c r="C26" s="34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20.399999999999999">
      <c r="A27" s="30" t="s">
        <v>0</v>
      </c>
      <c r="B27" s="31" t="s">
        <v>4</v>
      </c>
      <c r="C27" s="31"/>
      <c r="D27" s="32" t="s">
        <v>188</v>
      </c>
      <c r="E27" s="31">
        <f t="shared" ref="E27:U27" si="11">E$1</f>
        <v>2012</v>
      </c>
      <c r="F27" s="31">
        <f t="shared" si="11"/>
        <v>2013</v>
      </c>
      <c r="G27" s="31">
        <f t="shared" si="11"/>
        <v>2014</v>
      </c>
      <c r="H27" s="31">
        <f t="shared" si="11"/>
        <v>2015</v>
      </c>
      <c r="I27" s="31">
        <f t="shared" si="11"/>
        <v>2016</v>
      </c>
      <c r="J27" s="31">
        <f t="shared" si="11"/>
        <v>2017</v>
      </c>
      <c r="K27" s="31">
        <f t="shared" si="11"/>
        <v>2018</v>
      </c>
      <c r="L27" s="31">
        <f t="shared" si="11"/>
        <v>2019</v>
      </c>
      <c r="M27" s="31">
        <f t="shared" si="11"/>
        <v>2020</v>
      </c>
      <c r="N27" s="31">
        <f t="shared" si="11"/>
        <v>2021</v>
      </c>
      <c r="O27" s="31">
        <f t="shared" si="11"/>
        <v>2022</v>
      </c>
      <c r="P27" s="31">
        <f t="shared" si="11"/>
        <v>2023</v>
      </c>
      <c r="Q27" s="31">
        <f t="shared" si="11"/>
        <v>2024</v>
      </c>
      <c r="R27" s="31">
        <f t="shared" si="11"/>
        <v>2025</v>
      </c>
      <c r="S27" s="31">
        <f t="shared" si="11"/>
        <v>2026</v>
      </c>
      <c r="T27" s="31">
        <f t="shared" si="11"/>
        <v>2027</v>
      </c>
      <c r="U27" s="31">
        <f t="shared" si="11"/>
        <v>2028</v>
      </c>
    </row>
    <row r="28" spans="1:21">
      <c r="A28" s="21">
        <v>1</v>
      </c>
      <c r="B28" s="22" t="s">
        <v>182</v>
      </c>
      <c r="C28" s="22"/>
      <c r="D28" s="40">
        <v>0</v>
      </c>
      <c r="E28" s="36"/>
      <c r="F28" s="36"/>
      <c r="G28" s="36"/>
      <c r="H28" s="36">
        <f>ROUND(Założenia_kredyty!H$48*$D28,2)</f>
        <v>0</v>
      </c>
      <c r="I28" s="36">
        <f>ROUND(Założenia_kredyty!I$48*$D28,2)</f>
        <v>0</v>
      </c>
      <c r="J28" s="36">
        <f>ROUND(Założenia_kredyty!J$48*$D28,2)</f>
        <v>0</v>
      </c>
      <c r="K28" s="36">
        <f>ROUND(Założenia_kredyty!K$48*$D28,2)</f>
        <v>0</v>
      </c>
      <c r="L28" s="36">
        <f>ROUND(Założenia_kredyty!L$48*$D28,2)</f>
        <v>0</v>
      </c>
      <c r="M28" s="36">
        <f>ROUND(Założenia_kredyty!M$48*$D28,2)</f>
        <v>0</v>
      </c>
      <c r="N28" s="36">
        <f>ROUND(Założenia_kredyty!N$48*$D28,2)</f>
        <v>0</v>
      </c>
      <c r="O28" s="36">
        <f>ROUND(Założenia_kredyty!O$48*$D28,2)</f>
        <v>0</v>
      </c>
      <c r="P28" s="36">
        <f>ROUND(Założenia_kredyty!P$48*$D28,2)</f>
        <v>0</v>
      </c>
      <c r="Q28" s="36">
        <f>ROUND(Założenia_kredyty!Q$48*$D28,2)</f>
        <v>0</v>
      </c>
      <c r="R28" s="36">
        <f>ROUND(Założenia_kredyty!R$48*$D28,2)</f>
        <v>0</v>
      </c>
      <c r="S28" s="36">
        <f>ROUND(Założenia_kredyty!S$48*$D28,2)</f>
        <v>0</v>
      </c>
      <c r="T28" s="36">
        <f>ROUND(Założenia_kredyty!T$48*$D28,2)</f>
        <v>0</v>
      </c>
      <c r="U28" s="36">
        <f>ROUND(Założenia_kredyty!U$48*$D28,2)</f>
        <v>0</v>
      </c>
    </row>
    <row r="29" spans="1:21">
      <c r="A29" s="21">
        <v>2</v>
      </c>
      <c r="B29" s="22" t="s">
        <v>183</v>
      </c>
      <c r="C29" s="22"/>
      <c r="D29" s="40">
        <v>0</v>
      </c>
      <c r="E29" s="36"/>
      <c r="F29" s="36"/>
      <c r="G29" s="36"/>
      <c r="H29" s="36">
        <f>ROUND(Założenia_kredyty!H$48*$D29,2)</f>
        <v>0</v>
      </c>
      <c r="I29" s="36">
        <f>ROUND(Założenia_kredyty!I$48*$D29,2)</f>
        <v>0</v>
      </c>
      <c r="J29" s="36">
        <f>ROUND(Założenia_kredyty!J$48*$D29,2)</f>
        <v>0</v>
      </c>
      <c r="K29" s="36">
        <f>ROUND(Założenia_kredyty!K$48*$D29,2)</f>
        <v>0</v>
      </c>
      <c r="L29" s="36">
        <f>ROUND(Założenia_kredyty!L$48*$D29,2)</f>
        <v>0</v>
      </c>
      <c r="M29" s="36">
        <f>ROUND(Założenia_kredyty!M$48*$D29,2)</f>
        <v>0</v>
      </c>
      <c r="N29" s="36">
        <f>ROUND(Założenia_kredyty!N$48*$D29,2)</f>
        <v>0</v>
      </c>
      <c r="O29" s="36">
        <f>ROUND(Założenia_kredyty!O$48*$D29,2)</f>
        <v>0</v>
      </c>
      <c r="P29" s="36">
        <f>ROUND(Założenia_kredyty!P$48*$D29,2)</f>
        <v>0</v>
      </c>
      <c r="Q29" s="36">
        <f>ROUND(Założenia_kredyty!Q$48*$D29,2)</f>
        <v>0</v>
      </c>
      <c r="R29" s="36">
        <f>ROUND(Założenia_kredyty!R$48*$D29,2)</f>
        <v>0</v>
      </c>
      <c r="S29" s="36">
        <f>ROUND(Założenia_kredyty!S$48*$D29,2)</f>
        <v>0</v>
      </c>
      <c r="T29" s="36">
        <f>ROUND(Założenia_kredyty!T$48*$D29,2)</f>
        <v>0</v>
      </c>
      <c r="U29" s="36">
        <f>ROUND(Założenia_kredyty!U$48*$D29,2)</f>
        <v>0</v>
      </c>
    </row>
    <row r="30" spans="1:21">
      <c r="A30" s="21">
        <v>3</v>
      </c>
      <c r="B30" s="22" t="s">
        <v>184</v>
      </c>
      <c r="C30" s="22"/>
      <c r="D30" s="40">
        <v>0.9</v>
      </c>
      <c r="E30" s="36"/>
      <c r="F30" s="36"/>
      <c r="G30" s="36"/>
      <c r="H30" s="36">
        <f>ROUND(Założenia_kredyty!H$48*$D30,2)</f>
        <v>0</v>
      </c>
      <c r="I30" s="36">
        <f>ROUND(Założenia_kredyty!I$48*$D30,2)</f>
        <v>0</v>
      </c>
      <c r="J30" s="36">
        <f>ROUND(Założenia_kredyty!J$48*$D30,2)</f>
        <v>0</v>
      </c>
      <c r="K30" s="36">
        <f>ROUND(Założenia_kredyty!K$48*$D30,2)</f>
        <v>0</v>
      </c>
      <c r="L30" s="36">
        <f>ROUND(Założenia_kredyty!L$48*$D30,2)</f>
        <v>0</v>
      </c>
      <c r="M30" s="36">
        <f>ROUND(Założenia_kredyty!M$48*$D30,2)</f>
        <v>0</v>
      </c>
      <c r="N30" s="36">
        <f>ROUND(Założenia_kredyty!N$48*$D30,2)</f>
        <v>0</v>
      </c>
      <c r="O30" s="36">
        <f>ROUND(Założenia_kredyty!O$48*$D30,2)</f>
        <v>0</v>
      </c>
      <c r="P30" s="36">
        <f>ROUND(Założenia_kredyty!P$48*$D30,2)</f>
        <v>0</v>
      </c>
      <c r="Q30" s="36">
        <f>ROUND(Założenia_kredyty!Q$48*$D30,2)</f>
        <v>0</v>
      </c>
      <c r="R30" s="36">
        <f>ROUND(Założenia_kredyty!R$48*$D30,2)</f>
        <v>0</v>
      </c>
      <c r="S30" s="36">
        <f>ROUND(Założenia_kredyty!S$48*$D30,2)</f>
        <v>0</v>
      </c>
      <c r="T30" s="36">
        <f>ROUND(Założenia_kredyty!T$48*$D30,2)</f>
        <v>0</v>
      </c>
      <c r="U30" s="36">
        <f>ROUND(Założenia_kredyty!U$48*$D30,2)</f>
        <v>0</v>
      </c>
    </row>
    <row r="31" spans="1:21">
      <c r="A31" s="21">
        <v>4</v>
      </c>
      <c r="B31" s="22" t="s">
        <v>185</v>
      </c>
      <c r="C31" s="22"/>
      <c r="D31" s="40">
        <v>0</v>
      </c>
      <c r="E31" s="36"/>
      <c r="F31" s="36"/>
      <c r="G31" s="36"/>
      <c r="H31" s="36">
        <f>ROUND(Założenia_kredyty!H$48*$D31,2)</f>
        <v>0</v>
      </c>
      <c r="I31" s="36">
        <f>ROUND(Założenia_kredyty!I$48*$D31,2)</f>
        <v>0</v>
      </c>
      <c r="J31" s="36">
        <f>ROUND(Założenia_kredyty!J$48*$D31,2)</f>
        <v>0</v>
      </c>
      <c r="K31" s="36">
        <f>ROUND(Założenia_kredyty!K$48*$D31,2)</f>
        <v>0</v>
      </c>
      <c r="L31" s="36">
        <f>ROUND(Założenia_kredyty!L$48*$D31,2)</f>
        <v>0</v>
      </c>
      <c r="M31" s="36">
        <f>ROUND(Założenia_kredyty!M$48*$D31,2)</f>
        <v>0</v>
      </c>
      <c r="N31" s="36">
        <f>ROUND(Założenia_kredyty!N$48*$D31,2)</f>
        <v>0</v>
      </c>
      <c r="O31" s="36">
        <f>ROUND(Założenia_kredyty!O$48*$D31,2)</f>
        <v>0</v>
      </c>
      <c r="P31" s="36">
        <f>ROUND(Założenia_kredyty!P$48*$D31,2)</f>
        <v>0</v>
      </c>
      <c r="Q31" s="36">
        <f>ROUND(Założenia_kredyty!Q$48*$D31,2)</f>
        <v>0</v>
      </c>
      <c r="R31" s="36">
        <f>ROUND(Założenia_kredyty!R$48*$D31,2)</f>
        <v>0</v>
      </c>
      <c r="S31" s="36">
        <f>ROUND(Założenia_kredyty!S$48*$D31,2)</f>
        <v>0</v>
      </c>
      <c r="T31" s="36">
        <f>ROUND(Założenia_kredyty!T$48*$D31,2)</f>
        <v>0</v>
      </c>
      <c r="U31" s="36">
        <f>ROUND(Założenia_kredyty!U$48*$D31,2)</f>
        <v>0</v>
      </c>
    </row>
    <row r="32" spans="1:21">
      <c r="A32" s="21">
        <v>5</v>
      </c>
      <c r="B32" s="22" t="s">
        <v>186</v>
      </c>
      <c r="C32" s="22"/>
      <c r="D32" s="40">
        <v>0.1</v>
      </c>
      <c r="E32" s="36"/>
      <c r="F32" s="36"/>
      <c r="G32" s="36"/>
      <c r="H32" s="36">
        <f>ROUND(Założenia_kredyty!H$48*$D32,2)</f>
        <v>0</v>
      </c>
      <c r="I32" s="36">
        <f>ROUND(Założenia_kredyty!I$48*$D32,2)</f>
        <v>0</v>
      </c>
      <c r="J32" s="36">
        <f>ROUND(Założenia_kredyty!J$48*$D32,2)</f>
        <v>0</v>
      </c>
      <c r="K32" s="36">
        <f>ROUND(Założenia_kredyty!K$48*$D32,2)</f>
        <v>0</v>
      </c>
      <c r="L32" s="36">
        <f>ROUND(Założenia_kredyty!L$48*$D32,2)</f>
        <v>0</v>
      </c>
      <c r="M32" s="36">
        <f>ROUND(Założenia_kredyty!M$48*$D32,2)</f>
        <v>0</v>
      </c>
      <c r="N32" s="36">
        <f>ROUND(Założenia_kredyty!N$48*$D32,2)</f>
        <v>0</v>
      </c>
      <c r="O32" s="36">
        <f>ROUND(Założenia_kredyty!O$48*$D32,2)</f>
        <v>0</v>
      </c>
      <c r="P32" s="36">
        <f>ROUND(Założenia_kredyty!P$48*$D32,2)</f>
        <v>0</v>
      </c>
      <c r="Q32" s="36">
        <f>ROUND(Założenia_kredyty!Q$48*$D32,2)</f>
        <v>0</v>
      </c>
      <c r="R32" s="36">
        <f>ROUND(Założenia_kredyty!R$48*$D32,2)</f>
        <v>0</v>
      </c>
      <c r="S32" s="36">
        <f>ROUND(Założenia_kredyty!S$48*$D32,2)</f>
        <v>0</v>
      </c>
      <c r="T32" s="36">
        <f>ROUND(Założenia_kredyty!T$48*$D32,2)</f>
        <v>0</v>
      </c>
      <c r="U32" s="36">
        <f>ROUND(Założenia_kredyty!U$48*$D32,2)</f>
        <v>0</v>
      </c>
    </row>
    <row r="33" spans="1:21" ht="10.8" thickBot="1">
      <c r="A33" s="24">
        <v>6</v>
      </c>
      <c r="B33" s="25" t="s">
        <v>187</v>
      </c>
      <c r="C33" s="25"/>
      <c r="D33" s="40">
        <v>0</v>
      </c>
      <c r="E33" s="38"/>
      <c r="F33" s="38"/>
      <c r="G33" s="36"/>
      <c r="H33" s="36">
        <f>ROUND(Założenia_kredyty!H$48*$D33,2)</f>
        <v>0</v>
      </c>
      <c r="I33" s="36">
        <f>ROUND(Założenia_kredyty!I$48*$D33,2)</f>
        <v>0</v>
      </c>
      <c r="J33" s="36">
        <f>ROUND(Założenia_kredyty!J$48*$D33,2)</f>
        <v>0</v>
      </c>
      <c r="K33" s="36">
        <f>ROUND(Założenia_kredyty!K$48*$D33,2)</f>
        <v>0</v>
      </c>
      <c r="L33" s="36">
        <f>ROUND(Założenia_kredyty!L$48*$D33,2)</f>
        <v>0</v>
      </c>
      <c r="M33" s="36">
        <f>ROUND(Założenia_kredyty!M$48*$D33,2)</f>
        <v>0</v>
      </c>
      <c r="N33" s="36">
        <f>ROUND(Założenia_kredyty!N$48*$D33,2)</f>
        <v>0</v>
      </c>
      <c r="O33" s="36">
        <f>ROUND(Założenia_kredyty!O$48*$D33,2)</f>
        <v>0</v>
      </c>
      <c r="P33" s="36">
        <f>ROUND(Założenia_kredyty!P$48*$D33,2)</f>
        <v>0</v>
      </c>
      <c r="Q33" s="36">
        <f>ROUND(Założenia_kredyty!Q$48*$D33,2)</f>
        <v>0</v>
      </c>
      <c r="R33" s="36">
        <f>ROUND(Założenia_kredyty!R$48*$D33,2)</f>
        <v>0</v>
      </c>
      <c r="S33" s="36">
        <f>ROUND(Założenia_kredyty!S$48*$D33,2)</f>
        <v>0</v>
      </c>
      <c r="T33" s="36">
        <f>ROUND(Założenia_kredyty!T$48*$D33,2)</f>
        <v>0</v>
      </c>
      <c r="U33" s="36">
        <f>ROUND(Założenia_kredyty!U$48*$D33,2)</f>
        <v>0</v>
      </c>
    </row>
    <row r="34" spans="1:21" ht="10.8" thickBot="1">
      <c r="A34" s="27">
        <v>7</v>
      </c>
      <c r="B34" s="28" t="s">
        <v>2</v>
      </c>
      <c r="C34" s="28"/>
      <c r="D34" s="41">
        <f>SUM(D28:D33)</f>
        <v>1</v>
      </c>
      <c r="E34" s="37">
        <f>SUM(E28:E33)</f>
        <v>0</v>
      </c>
      <c r="F34" s="37">
        <f t="shared" ref="F34:U34" si="12">SUM(F28:F33)</f>
        <v>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2"/>
        <v>0</v>
      </c>
      <c r="L34" s="37">
        <f t="shared" si="12"/>
        <v>0</v>
      </c>
      <c r="M34" s="37">
        <f t="shared" si="12"/>
        <v>0</v>
      </c>
      <c r="N34" s="37">
        <f t="shared" si="12"/>
        <v>0</v>
      </c>
      <c r="O34" s="37">
        <f t="shared" si="12"/>
        <v>0</v>
      </c>
      <c r="P34" s="37">
        <f t="shared" si="12"/>
        <v>0</v>
      </c>
      <c r="Q34" s="37">
        <f t="shared" si="12"/>
        <v>0</v>
      </c>
      <c r="R34" s="37">
        <f t="shared" si="12"/>
        <v>0</v>
      </c>
      <c r="S34" s="37">
        <f t="shared" si="12"/>
        <v>0</v>
      </c>
      <c r="T34" s="37">
        <f t="shared" si="12"/>
        <v>0</v>
      </c>
      <c r="U34" s="37">
        <f t="shared" si="12"/>
        <v>0</v>
      </c>
    </row>
    <row r="35" spans="1:21">
      <c r="A35" s="42">
        <v>8</v>
      </c>
      <c r="B35" s="43" t="s">
        <v>189</v>
      </c>
      <c r="C35" s="4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>
      <c r="A36" s="18"/>
      <c r="B36" s="20"/>
      <c r="C36" s="2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>
      <c r="A37" s="18"/>
      <c r="B37" s="20"/>
      <c r="C37" s="2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18"/>
      <c r="B38" s="34" t="s">
        <v>212</v>
      </c>
      <c r="C38" s="34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0.399999999999999">
      <c r="A39" s="30" t="s">
        <v>0</v>
      </c>
      <c r="B39" s="31" t="s">
        <v>4</v>
      </c>
      <c r="C39" s="31"/>
      <c r="D39" s="32" t="s">
        <v>190</v>
      </c>
      <c r="E39" s="31">
        <f t="shared" ref="E39:U39" si="13">E$1</f>
        <v>2012</v>
      </c>
      <c r="F39" s="31">
        <f t="shared" si="13"/>
        <v>2013</v>
      </c>
      <c r="G39" s="31">
        <f t="shared" si="13"/>
        <v>2014</v>
      </c>
      <c r="H39" s="31">
        <f t="shared" si="13"/>
        <v>2015</v>
      </c>
      <c r="I39" s="31">
        <f t="shared" si="13"/>
        <v>2016</v>
      </c>
      <c r="J39" s="31">
        <f t="shared" si="13"/>
        <v>2017</v>
      </c>
      <c r="K39" s="31">
        <f t="shared" si="13"/>
        <v>2018</v>
      </c>
      <c r="L39" s="31">
        <f t="shared" si="13"/>
        <v>2019</v>
      </c>
      <c r="M39" s="31">
        <f t="shared" si="13"/>
        <v>2020</v>
      </c>
      <c r="N39" s="31">
        <f t="shared" si="13"/>
        <v>2021</v>
      </c>
      <c r="O39" s="31">
        <f t="shared" si="13"/>
        <v>2022</v>
      </c>
      <c r="P39" s="31">
        <f t="shared" si="13"/>
        <v>2023</v>
      </c>
      <c r="Q39" s="31">
        <f t="shared" si="13"/>
        <v>2024</v>
      </c>
      <c r="R39" s="31">
        <f t="shared" si="13"/>
        <v>2025</v>
      </c>
      <c r="S39" s="31">
        <f t="shared" si="13"/>
        <v>2026</v>
      </c>
      <c r="T39" s="31">
        <f t="shared" si="13"/>
        <v>2027</v>
      </c>
      <c r="U39" s="31">
        <f t="shared" si="13"/>
        <v>2028</v>
      </c>
    </row>
    <row r="40" spans="1:21">
      <c r="A40" s="21">
        <v>1</v>
      </c>
      <c r="B40" s="22" t="s">
        <v>182</v>
      </c>
      <c r="C40" s="22"/>
      <c r="D40" s="46">
        <v>0.2</v>
      </c>
      <c r="E40" s="36"/>
      <c r="F40" s="36"/>
      <c r="G40" s="36"/>
      <c r="H40" s="36">
        <f>SUM($H28:H28)*$D40</f>
        <v>0</v>
      </c>
      <c r="I40" s="36">
        <f>SUM($H28:I28)*$D40</f>
        <v>0</v>
      </c>
      <c r="J40" s="36">
        <f>SUM($H28:J28)*$D40</f>
        <v>0</v>
      </c>
      <c r="K40" s="36">
        <f>SUM($H28:K28)*$D40</f>
        <v>0</v>
      </c>
      <c r="L40" s="36">
        <f>SUM($H28:L28)*$D40</f>
        <v>0</v>
      </c>
      <c r="M40" s="36">
        <f>SUM($H28:M28)*$D40</f>
        <v>0</v>
      </c>
      <c r="N40" s="36">
        <f>SUM($H28:N28)*$D40</f>
        <v>0</v>
      </c>
      <c r="O40" s="36">
        <f>SUM($H28:O28)*$D40</f>
        <v>0</v>
      </c>
      <c r="P40" s="36">
        <f>SUM($H28:P28)*$D40</f>
        <v>0</v>
      </c>
      <c r="Q40" s="36">
        <f>SUM($H28:Q28)*$D40</f>
        <v>0</v>
      </c>
      <c r="R40" s="36">
        <f>SUM($H28:R28)*$D40</f>
        <v>0</v>
      </c>
      <c r="S40" s="36">
        <f>SUM($H28:S28)*$D40</f>
        <v>0</v>
      </c>
      <c r="T40" s="36">
        <f>SUM($H28:T28)*$D40</f>
        <v>0</v>
      </c>
      <c r="U40" s="36">
        <f>SUM($H28:U28)*$D40</f>
        <v>0</v>
      </c>
    </row>
    <row r="41" spans="1:21">
      <c r="A41" s="21">
        <v>2</v>
      </c>
      <c r="B41" s="22" t="s">
        <v>183</v>
      </c>
      <c r="C41" s="22"/>
      <c r="D41" s="46">
        <f>F55</f>
        <v>0</v>
      </c>
      <c r="E41" s="36"/>
      <c r="F41" s="36"/>
      <c r="G41" s="36"/>
      <c r="H41" s="36">
        <f>SUM($H29:H29)*$D41</f>
        <v>0</v>
      </c>
      <c r="I41" s="36">
        <f>SUM($H29:I29)*$D41</f>
        <v>0</v>
      </c>
      <c r="J41" s="36">
        <f>SUM($H29:J29)*$D41</f>
        <v>0</v>
      </c>
      <c r="K41" s="36">
        <f>SUM($H29:K29)*$D41</f>
        <v>0</v>
      </c>
      <c r="L41" s="36">
        <f>SUM($H29:L29)*$D41</f>
        <v>0</v>
      </c>
      <c r="M41" s="36">
        <f>SUM($H29:M29)*$D41</f>
        <v>0</v>
      </c>
      <c r="N41" s="36">
        <f>SUM($H29:N29)*$D41</f>
        <v>0</v>
      </c>
      <c r="O41" s="36">
        <f>SUM($H29:O29)*$D41</f>
        <v>0</v>
      </c>
      <c r="P41" s="36">
        <f>SUM($H29:P29)*$D41</f>
        <v>0</v>
      </c>
      <c r="Q41" s="36">
        <f>SUM($H29:Q29)*$D41</f>
        <v>0</v>
      </c>
      <c r="R41" s="36">
        <f>SUM($H29:R29)*$D41</f>
        <v>0</v>
      </c>
      <c r="S41" s="36">
        <f>SUM($H29:S29)*$D41</f>
        <v>0</v>
      </c>
      <c r="T41" s="36">
        <f>SUM($H29:T29)*$D41</f>
        <v>0</v>
      </c>
      <c r="U41" s="36">
        <f>SUM($H29:U29)*$D41</f>
        <v>0</v>
      </c>
    </row>
    <row r="42" spans="1:21">
      <c r="A42" s="21">
        <v>3</v>
      </c>
      <c r="B42" s="22" t="s">
        <v>184</v>
      </c>
      <c r="C42" s="22"/>
      <c r="D42" s="46">
        <v>7.1499999999999994E-2</v>
      </c>
      <c r="E42" s="36"/>
      <c r="F42" s="36"/>
      <c r="G42" s="36"/>
      <c r="H42" s="36">
        <f>SUM($H30:H30)*$D42</f>
        <v>0</v>
      </c>
      <c r="I42" s="36">
        <f>SUM($H30:I30)*$D42</f>
        <v>0</v>
      </c>
      <c r="J42" s="36">
        <f>SUM($H30:J30)*$D42</f>
        <v>0</v>
      </c>
      <c r="K42" s="36">
        <f>SUM($H30:K30)*$D42</f>
        <v>0</v>
      </c>
      <c r="L42" s="36">
        <f>SUM($H30:L30)*$D42</f>
        <v>0</v>
      </c>
      <c r="M42" s="36">
        <f>SUM($H30:M30)*$D42</f>
        <v>0</v>
      </c>
      <c r="N42" s="36">
        <f>SUM($H30:N30)*$D42</f>
        <v>0</v>
      </c>
      <c r="O42" s="36">
        <f>SUM($H30:O30)*$D42</f>
        <v>0</v>
      </c>
      <c r="P42" s="36">
        <f>SUM($H30:P30)*$D42</f>
        <v>0</v>
      </c>
      <c r="Q42" s="36">
        <f>SUM($H30:Q30)*$D42</f>
        <v>0</v>
      </c>
      <c r="R42" s="36">
        <f>SUM($H30:R30)*$D42</f>
        <v>0</v>
      </c>
      <c r="S42" s="36">
        <f>SUM($H30:S30)*$D42</f>
        <v>0</v>
      </c>
      <c r="T42" s="36">
        <f>SUM($H30:T30)*$D42</f>
        <v>0</v>
      </c>
      <c r="U42" s="36">
        <f>SUM($H30:U30)*$D42</f>
        <v>0</v>
      </c>
    </row>
    <row r="43" spans="1:21">
      <c r="A43" s="21">
        <v>4</v>
      </c>
      <c r="B43" s="22" t="s">
        <v>185</v>
      </c>
      <c r="C43" s="22"/>
      <c r="D43" s="46">
        <v>0.14299999999999999</v>
      </c>
      <c r="E43" s="36"/>
      <c r="F43" s="36"/>
      <c r="G43" s="36"/>
      <c r="H43" s="36">
        <f>SUM($H31:H31)*$D43</f>
        <v>0</v>
      </c>
      <c r="I43" s="36">
        <f>SUM($H31:I31)*$D43</f>
        <v>0</v>
      </c>
      <c r="J43" s="36">
        <f>SUM($H31:J31)*$D43</f>
        <v>0</v>
      </c>
      <c r="K43" s="36">
        <f>SUM($H31:K31)*$D43</f>
        <v>0</v>
      </c>
      <c r="L43" s="36">
        <f>SUM($H31:L31)*$D43</f>
        <v>0</v>
      </c>
      <c r="M43" s="36">
        <f>SUM($H31:M31)*$D43</f>
        <v>0</v>
      </c>
      <c r="N43" s="36">
        <f>SUM($H31:N31)*$D43</f>
        <v>0</v>
      </c>
      <c r="O43" s="36">
        <f>SUM($H31:O31)*$D43</f>
        <v>0</v>
      </c>
      <c r="P43" s="36">
        <f>SUM($H31:P31)*$D43</f>
        <v>0</v>
      </c>
      <c r="Q43" s="36">
        <f>SUM($H31:Q31)*$D43</f>
        <v>0</v>
      </c>
      <c r="R43" s="36">
        <f>SUM($H31:R31)*$D43</f>
        <v>0</v>
      </c>
      <c r="S43" s="36">
        <f>SUM($H31:S31)*$D43</f>
        <v>0</v>
      </c>
      <c r="T43" s="36">
        <f>SUM($H31:T31)*$D43</f>
        <v>0</v>
      </c>
      <c r="U43" s="36">
        <f>SUM($H31:U31)*$D43</f>
        <v>0</v>
      </c>
    </row>
    <row r="44" spans="1:21">
      <c r="A44" s="21">
        <v>5</v>
      </c>
      <c r="B44" s="22" t="s">
        <v>186</v>
      </c>
      <c r="C44" s="22"/>
      <c r="D44" s="46">
        <v>0.2</v>
      </c>
      <c r="E44" s="36"/>
      <c r="F44" s="36"/>
      <c r="G44" s="36"/>
      <c r="H44" s="36">
        <f>SUM($H32:H32)*$D44</f>
        <v>0</v>
      </c>
      <c r="I44" s="36">
        <f>SUM($H32:I32)*$D44</f>
        <v>0</v>
      </c>
      <c r="J44" s="36">
        <f>SUM($H32:J32)*$D44</f>
        <v>0</v>
      </c>
      <c r="K44" s="36">
        <f>SUM($H32:K32)*$D44</f>
        <v>0</v>
      </c>
      <c r="L44" s="36">
        <f>SUM($H32:L32)*$D44</f>
        <v>0</v>
      </c>
      <c r="M44" s="36">
        <f>SUM($H32:M32)*$D44</f>
        <v>0</v>
      </c>
      <c r="N44" s="36">
        <f>SUM($H32:N32)*$D44</f>
        <v>0</v>
      </c>
      <c r="O44" s="36">
        <f>SUM($H32:O32)*$D44</f>
        <v>0</v>
      </c>
      <c r="P44" s="36">
        <f>SUM($H32:P32)*$D44</f>
        <v>0</v>
      </c>
      <c r="Q44" s="36">
        <f>SUM($H32:Q32)*$D44</f>
        <v>0</v>
      </c>
      <c r="R44" s="36">
        <f>SUM($H32:R32)*$D44</f>
        <v>0</v>
      </c>
      <c r="S44" s="36">
        <f>SUM($H32:S32)*$D44</f>
        <v>0</v>
      </c>
      <c r="T44" s="36">
        <f>SUM($H32:T32)*$D44</f>
        <v>0</v>
      </c>
      <c r="U44" s="36">
        <f>SUM($H32:U32)*$D44</f>
        <v>0</v>
      </c>
    </row>
    <row r="45" spans="1:21" ht="10.8" thickBot="1">
      <c r="A45" s="24">
        <v>6</v>
      </c>
      <c r="B45" s="25" t="s">
        <v>187</v>
      </c>
      <c r="C45" s="25"/>
      <c r="D45" s="46">
        <v>0.2</v>
      </c>
      <c r="E45" s="38"/>
      <c r="F45" s="38"/>
      <c r="G45" s="36"/>
      <c r="H45" s="36">
        <f>SUM($H33:H33)*$D45</f>
        <v>0</v>
      </c>
      <c r="I45" s="36">
        <f>SUM($H33:I33)*$D45</f>
        <v>0</v>
      </c>
      <c r="J45" s="36">
        <f>SUM($H33:J33)*$D45</f>
        <v>0</v>
      </c>
      <c r="K45" s="36">
        <f>SUM($H33:K33)*$D45</f>
        <v>0</v>
      </c>
      <c r="L45" s="36">
        <f>SUM($H33:L33)*$D45</f>
        <v>0</v>
      </c>
      <c r="M45" s="36">
        <f>SUM($H33:M33)*$D45</f>
        <v>0</v>
      </c>
      <c r="N45" s="36">
        <f>SUM($H33:N33)*$D45</f>
        <v>0</v>
      </c>
      <c r="O45" s="36">
        <f>SUM($H33:O33)*$D45</f>
        <v>0</v>
      </c>
      <c r="P45" s="36">
        <f>SUM($H33:P33)*$D45</f>
        <v>0</v>
      </c>
      <c r="Q45" s="36">
        <f>SUM($H33:Q33)*$D45</f>
        <v>0</v>
      </c>
      <c r="R45" s="36">
        <f>SUM($H33:R33)*$D45</f>
        <v>0</v>
      </c>
      <c r="S45" s="36">
        <f>SUM($H33:S33)*$D45</f>
        <v>0</v>
      </c>
      <c r="T45" s="36">
        <f>SUM($H33:T33)*$D45</f>
        <v>0</v>
      </c>
      <c r="U45" s="36">
        <f>SUM($H33:U33)*$D45</f>
        <v>0</v>
      </c>
    </row>
    <row r="46" spans="1:21" ht="10.8" thickBot="1">
      <c r="A46" s="27">
        <v>7</v>
      </c>
      <c r="B46" s="28" t="s">
        <v>2</v>
      </c>
      <c r="C46" s="28"/>
      <c r="D46" s="41"/>
      <c r="E46" s="37"/>
      <c r="F46" s="37"/>
      <c r="G46" s="37"/>
      <c r="H46" s="37">
        <f t="shared" ref="H46:U46" si="14">SUM(H40:H45)</f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f t="shared" si="14"/>
        <v>0</v>
      </c>
      <c r="O46" s="37">
        <f t="shared" si="14"/>
        <v>0</v>
      </c>
      <c r="P46" s="37">
        <f t="shared" si="14"/>
        <v>0</v>
      </c>
      <c r="Q46" s="37">
        <f t="shared" si="14"/>
        <v>0</v>
      </c>
      <c r="R46" s="37">
        <f t="shared" si="14"/>
        <v>0</v>
      </c>
      <c r="S46" s="37">
        <f t="shared" si="14"/>
        <v>0</v>
      </c>
      <c r="T46" s="37">
        <f t="shared" si="14"/>
        <v>0</v>
      </c>
      <c r="U46" s="37">
        <f t="shared" si="14"/>
        <v>0</v>
      </c>
    </row>
    <row r="47" spans="1:21">
      <c r="A47" s="18"/>
      <c r="B47" s="20"/>
      <c r="C47" s="20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18"/>
      <c r="B48" s="20"/>
      <c r="C48" s="20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18"/>
      <c r="B49" s="34" t="s">
        <v>213</v>
      </c>
      <c r="C49" s="34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30" t="s">
        <v>0</v>
      </c>
      <c r="B50" s="31" t="s">
        <v>4</v>
      </c>
      <c r="C50" s="31"/>
      <c r="D50" s="32" t="s">
        <v>217</v>
      </c>
      <c r="E50" s="31">
        <f t="shared" ref="E50:U50" si="15">E1</f>
        <v>2012</v>
      </c>
      <c r="F50" s="31">
        <f t="shared" si="15"/>
        <v>2013</v>
      </c>
      <c r="G50" s="31">
        <f t="shared" si="15"/>
        <v>2014</v>
      </c>
      <c r="H50" s="31">
        <f t="shared" si="15"/>
        <v>2015</v>
      </c>
      <c r="I50" s="31">
        <f t="shared" si="15"/>
        <v>2016</v>
      </c>
      <c r="J50" s="31">
        <f t="shared" si="15"/>
        <v>2017</v>
      </c>
      <c r="K50" s="31">
        <f t="shared" si="15"/>
        <v>2018</v>
      </c>
      <c r="L50" s="31">
        <f t="shared" si="15"/>
        <v>2019</v>
      </c>
      <c r="M50" s="31">
        <f t="shared" si="15"/>
        <v>2020</v>
      </c>
      <c r="N50" s="31">
        <f t="shared" si="15"/>
        <v>2021</v>
      </c>
      <c r="O50" s="31">
        <f t="shared" si="15"/>
        <v>2022</v>
      </c>
      <c r="P50" s="31">
        <f t="shared" si="15"/>
        <v>2023</v>
      </c>
      <c r="Q50" s="31">
        <f t="shared" si="15"/>
        <v>2024</v>
      </c>
      <c r="R50" s="31">
        <f t="shared" si="15"/>
        <v>2025</v>
      </c>
      <c r="S50" s="31">
        <f t="shared" si="15"/>
        <v>2026</v>
      </c>
      <c r="T50" s="31">
        <f t="shared" si="15"/>
        <v>2027</v>
      </c>
      <c r="U50" s="31">
        <f t="shared" si="15"/>
        <v>2028</v>
      </c>
    </row>
    <row r="51" spans="1:21">
      <c r="A51" s="21">
        <v>1</v>
      </c>
      <c r="B51" s="22" t="s">
        <v>182</v>
      </c>
      <c r="C51" s="22"/>
      <c r="D51" s="40" t="s">
        <v>16</v>
      </c>
      <c r="E51" s="47"/>
      <c r="F51" s="47"/>
      <c r="G51" s="47"/>
      <c r="H51" s="47">
        <f t="shared" ref="H51:U51" si="16">G51+H28-H40</f>
        <v>0</v>
      </c>
      <c r="I51" s="47">
        <f t="shared" si="16"/>
        <v>0</v>
      </c>
      <c r="J51" s="47">
        <f t="shared" si="16"/>
        <v>0</v>
      </c>
      <c r="K51" s="47">
        <f t="shared" si="16"/>
        <v>0</v>
      </c>
      <c r="L51" s="47">
        <f t="shared" si="16"/>
        <v>0</v>
      </c>
      <c r="M51" s="47">
        <f t="shared" si="16"/>
        <v>0</v>
      </c>
      <c r="N51" s="47">
        <f t="shared" si="16"/>
        <v>0</v>
      </c>
      <c r="O51" s="47">
        <f t="shared" si="16"/>
        <v>0</v>
      </c>
      <c r="P51" s="47">
        <f t="shared" si="16"/>
        <v>0</v>
      </c>
      <c r="Q51" s="47">
        <f t="shared" si="16"/>
        <v>0</v>
      </c>
      <c r="R51" s="47">
        <f t="shared" si="16"/>
        <v>0</v>
      </c>
      <c r="S51" s="47">
        <f t="shared" si="16"/>
        <v>0</v>
      </c>
      <c r="T51" s="47">
        <f t="shared" si="16"/>
        <v>0</v>
      </c>
      <c r="U51" s="47">
        <f t="shared" si="16"/>
        <v>0</v>
      </c>
    </row>
    <row r="52" spans="1:21">
      <c r="A52" s="21">
        <v>2</v>
      </c>
      <c r="B52" s="22" t="s">
        <v>183</v>
      </c>
      <c r="C52" s="22"/>
      <c r="D52" s="40" t="s">
        <v>16</v>
      </c>
      <c r="E52" s="47"/>
      <c r="F52" s="47"/>
      <c r="G52" s="47"/>
      <c r="H52" s="47">
        <f t="shared" ref="H52:U56" si="17">G52+H29-H41</f>
        <v>0</v>
      </c>
      <c r="I52" s="47">
        <f t="shared" si="17"/>
        <v>0</v>
      </c>
      <c r="J52" s="47">
        <f t="shared" si="17"/>
        <v>0</v>
      </c>
      <c r="K52" s="47">
        <f t="shared" si="17"/>
        <v>0</v>
      </c>
      <c r="L52" s="47">
        <f t="shared" si="17"/>
        <v>0</v>
      </c>
      <c r="M52" s="47">
        <f t="shared" si="17"/>
        <v>0</v>
      </c>
      <c r="N52" s="47">
        <f t="shared" si="17"/>
        <v>0</v>
      </c>
      <c r="O52" s="47">
        <f t="shared" si="17"/>
        <v>0</v>
      </c>
      <c r="P52" s="47">
        <f t="shared" si="17"/>
        <v>0</v>
      </c>
      <c r="Q52" s="47">
        <f t="shared" si="17"/>
        <v>0</v>
      </c>
      <c r="R52" s="47">
        <f t="shared" si="17"/>
        <v>0</v>
      </c>
      <c r="S52" s="47">
        <f t="shared" si="17"/>
        <v>0</v>
      </c>
      <c r="T52" s="47">
        <f t="shared" si="17"/>
        <v>0</v>
      </c>
      <c r="U52" s="47">
        <f t="shared" si="17"/>
        <v>0</v>
      </c>
    </row>
    <row r="53" spans="1:21">
      <c r="A53" s="21">
        <v>3</v>
      </c>
      <c r="B53" s="22" t="s">
        <v>184</v>
      </c>
      <c r="C53" s="22"/>
      <c r="D53" s="40" t="s">
        <v>16</v>
      </c>
      <c r="E53" s="47"/>
      <c r="F53" s="47"/>
      <c r="G53" s="47"/>
      <c r="H53" s="47">
        <f t="shared" si="17"/>
        <v>0</v>
      </c>
      <c r="I53" s="47">
        <f t="shared" si="17"/>
        <v>0</v>
      </c>
      <c r="J53" s="47">
        <f t="shared" si="17"/>
        <v>0</v>
      </c>
      <c r="K53" s="47">
        <f t="shared" si="17"/>
        <v>0</v>
      </c>
      <c r="L53" s="47">
        <f t="shared" si="17"/>
        <v>0</v>
      </c>
      <c r="M53" s="47">
        <f t="shared" si="17"/>
        <v>0</v>
      </c>
      <c r="N53" s="47">
        <f t="shared" si="17"/>
        <v>0</v>
      </c>
      <c r="O53" s="47">
        <f t="shared" si="17"/>
        <v>0</v>
      </c>
      <c r="P53" s="47">
        <f t="shared" si="17"/>
        <v>0</v>
      </c>
      <c r="Q53" s="47">
        <f t="shared" si="17"/>
        <v>0</v>
      </c>
      <c r="R53" s="47">
        <f t="shared" si="17"/>
        <v>0</v>
      </c>
      <c r="S53" s="47">
        <f t="shared" si="17"/>
        <v>0</v>
      </c>
      <c r="T53" s="47">
        <f t="shared" si="17"/>
        <v>0</v>
      </c>
      <c r="U53" s="47">
        <f t="shared" si="17"/>
        <v>0</v>
      </c>
    </row>
    <row r="54" spans="1:21">
      <c r="A54" s="21">
        <v>4</v>
      </c>
      <c r="B54" s="22" t="s">
        <v>185</v>
      </c>
      <c r="C54" s="22"/>
      <c r="D54" s="40" t="s">
        <v>16</v>
      </c>
      <c r="E54" s="47"/>
      <c r="F54" s="47"/>
      <c r="G54" s="47"/>
      <c r="H54" s="47">
        <f t="shared" si="17"/>
        <v>0</v>
      </c>
      <c r="I54" s="47">
        <f t="shared" si="17"/>
        <v>0</v>
      </c>
      <c r="J54" s="47">
        <f t="shared" si="17"/>
        <v>0</v>
      </c>
      <c r="K54" s="47">
        <f t="shared" si="17"/>
        <v>0</v>
      </c>
      <c r="L54" s="47">
        <f t="shared" si="17"/>
        <v>0</v>
      </c>
      <c r="M54" s="47">
        <f t="shared" si="17"/>
        <v>0</v>
      </c>
      <c r="N54" s="47">
        <f t="shared" si="17"/>
        <v>0</v>
      </c>
      <c r="O54" s="47">
        <f t="shared" si="17"/>
        <v>0</v>
      </c>
      <c r="P54" s="47">
        <f t="shared" si="17"/>
        <v>0</v>
      </c>
      <c r="Q54" s="47">
        <f t="shared" si="17"/>
        <v>0</v>
      </c>
      <c r="R54" s="47">
        <f t="shared" si="17"/>
        <v>0</v>
      </c>
      <c r="S54" s="47">
        <f t="shared" si="17"/>
        <v>0</v>
      </c>
      <c r="T54" s="47">
        <f t="shared" si="17"/>
        <v>0</v>
      </c>
      <c r="U54" s="47">
        <f t="shared" si="17"/>
        <v>0</v>
      </c>
    </row>
    <row r="55" spans="1:21">
      <c r="A55" s="21">
        <v>5</v>
      </c>
      <c r="B55" s="22" t="s">
        <v>186</v>
      </c>
      <c r="C55" s="22"/>
      <c r="D55" s="40" t="s">
        <v>16</v>
      </c>
      <c r="E55" s="47"/>
      <c r="F55" s="47"/>
      <c r="G55" s="47"/>
      <c r="H55" s="47">
        <f t="shared" si="17"/>
        <v>0</v>
      </c>
      <c r="I55" s="47">
        <f t="shared" si="17"/>
        <v>0</v>
      </c>
      <c r="J55" s="47">
        <f t="shared" si="17"/>
        <v>0</v>
      </c>
      <c r="K55" s="47">
        <f t="shared" si="17"/>
        <v>0</v>
      </c>
      <c r="L55" s="47">
        <f t="shared" si="17"/>
        <v>0</v>
      </c>
      <c r="M55" s="47">
        <f t="shared" si="17"/>
        <v>0</v>
      </c>
      <c r="N55" s="47">
        <f t="shared" si="17"/>
        <v>0</v>
      </c>
      <c r="O55" s="47">
        <f t="shared" si="17"/>
        <v>0</v>
      </c>
      <c r="P55" s="47">
        <f t="shared" si="17"/>
        <v>0</v>
      </c>
      <c r="Q55" s="47">
        <f t="shared" si="17"/>
        <v>0</v>
      </c>
      <c r="R55" s="47">
        <f t="shared" si="17"/>
        <v>0</v>
      </c>
      <c r="S55" s="47">
        <f t="shared" si="17"/>
        <v>0</v>
      </c>
      <c r="T55" s="47">
        <f t="shared" si="17"/>
        <v>0</v>
      </c>
      <c r="U55" s="47">
        <f t="shared" si="17"/>
        <v>0</v>
      </c>
    </row>
    <row r="56" spans="1:21" ht="10.8" thickBot="1">
      <c r="A56" s="24">
        <v>6</v>
      </c>
      <c r="B56" s="25" t="s">
        <v>187</v>
      </c>
      <c r="C56" s="25"/>
      <c r="D56" s="40" t="s">
        <v>16</v>
      </c>
      <c r="E56" s="48"/>
      <c r="F56" s="48"/>
      <c r="G56" s="47"/>
      <c r="H56" s="47">
        <f t="shared" si="17"/>
        <v>0</v>
      </c>
      <c r="I56" s="47">
        <f t="shared" si="17"/>
        <v>0</v>
      </c>
      <c r="J56" s="47">
        <f t="shared" si="17"/>
        <v>0</v>
      </c>
      <c r="K56" s="47">
        <f t="shared" si="17"/>
        <v>0</v>
      </c>
      <c r="L56" s="47">
        <f t="shared" si="17"/>
        <v>0</v>
      </c>
      <c r="M56" s="47">
        <f t="shared" si="17"/>
        <v>0</v>
      </c>
      <c r="N56" s="47">
        <f t="shared" si="17"/>
        <v>0</v>
      </c>
      <c r="O56" s="47">
        <f t="shared" si="17"/>
        <v>0</v>
      </c>
      <c r="P56" s="47">
        <f t="shared" si="17"/>
        <v>0</v>
      </c>
      <c r="Q56" s="47">
        <f t="shared" si="17"/>
        <v>0</v>
      </c>
      <c r="R56" s="47">
        <f t="shared" si="17"/>
        <v>0</v>
      </c>
      <c r="S56" s="47">
        <f t="shared" si="17"/>
        <v>0</v>
      </c>
      <c r="T56" s="47">
        <f t="shared" si="17"/>
        <v>0</v>
      </c>
      <c r="U56" s="47">
        <f t="shared" si="17"/>
        <v>0</v>
      </c>
    </row>
    <row r="57" spans="1:21" ht="10.8" thickBot="1">
      <c r="A57" s="27">
        <v>7</v>
      </c>
      <c r="B57" s="28" t="s">
        <v>2</v>
      </c>
      <c r="C57" s="28"/>
      <c r="D57" s="41" t="s">
        <v>16</v>
      </c>
      <c r="E57" s="49">
        <f>SUM(E51:E56)</f>
        <v>0</v>
      </c>
      <c r="F57" s="49">
        <f t="shared" ref="F57:U57" si="18">SUM(F51:F56)</f>
        <v>0</v>
      </c>
      <c r="G57" s="49">
        <f t="shared" si="18"/>
        <v>0</v>
      </c>
      <c r="H57" s="49">
        <f t="shared" si="18"/>
        <v>0</v>
      </c>
      <c r="I57" s="49">
        <f t="shared" si="18"/>
        <v>0</v>
      </c>
      <c r="J57" s="49">
        <f t="shared" si="18"/>
        <v>0</v>
      </c>
      <c r="K57" s="49">
        <f t="shared" si="18"/>
        <v>0</v>
      </c>
      <c r="L57" s="49">
        <f t="shared" si="18"/>
        <v>0</v>
      </c>
      <c r="M57" s="49">
        <f t="shared" si="18"/>
        <v>0</v>
      </c>
      <c r="N57" s="49">
        <f t="shared" si="18"/>
        <v>0</v>
      </c>
      <c r="O57" s="49">
        <f t="shared" si="18"/>
        <v>0</v>
      </c>
      <c r="P57" s="49">
        <f t="shared" si="18"/>
        <v>0</v>
      </c>
      <c r="Q57" s="49">
        <f t="shared" si="18"/>
        <v>0</v>
      </c>
      <c r="R57" s="49">
        <f t="shared" si="18"/>
        <v>0</v>
      </c>
      <c r="S57" s="49">
        <f t="shared" si="18"/>
        <v>0</v>
      </c>
      <c r="T57" s="49">
        <f t="shared" si="18"/>
        <v>0</v>
      </c>
      <c r="U57" s="49">
        <f t="shared" si="18"/>
        <v>0</v>
      </c>
    </row>
    <row r="58" spans="1:21">
      <c r="A58" s="18"/>
      <c r="B58" s="20"/>
      <c r="C58" s="20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>
      <c r="A59" s="18"/>
      <c r="B59" s="20"/>
      <c r="C59" s="20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>
      <c r="A60" s="18"/>
      <c r="B60" s="34" t="s">
        <v>214</v>
      </c>
      <c r="C60" s="34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>
      <c r="A61" s="30" t="s">
        <v>0</v>
      </c>
      <c r="B61" s="31" t="s">
        <v>4</v>
      </c>
      <c r="C61" s="31"/>
      <c r="D61" s="32" t="s">
        <v>217</v>
      </c>
      <c r="E61" s="31">
        <f t="shared" ref="E61:U61" si="19">E1</f>
        <v>2012</v>
      </c>
      <c r="F61" s="31">
        <f t="shared" si="19"/>
        <v>2013</v>
      </c>
      <c r="G61" s="31">
        <f t="shared" si="19"/>
        <v>2014</v>
      </c>
      <c r="H61" s="31">
        <f t="shared" si="19"/>
        <v>2015</v>
      </c>
      <c r="I61" s="31">
        <f t="shared" si="19"/>
        <v>2016</v>
      </c>
      <c r="J61" s="31">
        <f t="shared" si="19"/>
        <v>2017</v>
      </c>
      <c r="K61" s="31">
        <f t="shared" si="19"/>
        <v>2018</v>
      </c>
      <c r="L61" s="31">
        <f t="shared" si="19"/>
        <v>2019</v>
      </c>
      <c r="M61" s="31">
        <f t="shared" si="19"/>
        <v>2020</v>
      </c>
      <c r="N61" s="31">
        <f t="shared" si="19"/>
        <v>2021</v>
      </c>
      <c r="O61" s="31">
        <f t="shared" si="19"/>
        <v>2022</v>
      </c>
      <c r="P61" s="31">
        <f t="shared" si="19"/>
        <v>2023</v>
      </c>
      <c r="Q61" s="31">
        <f t="shared" si="19"/>
        <v>2024</v>
      </c>
      <c r="R61" s="31">
        <f t="shared" si="19"/>
        <v>2025</v>
      </c>
      <c r="S61" s="31">
        <f t="shared" si="19"/>
        <v>2026</v>
      </c>
      <c r="T61" s="31">
        <f t="shared" si="19"/>
        <v>2027</v>
      </c>
      <c r="U61" s="31">
        <f t="shared" si="19"/>
        <v>2028</v>
      </c>
    </row>
    <row r="62" spans="1:21">
      <c r="A62" s="21">
        <v>1</v>
      </c>
      <c r="B62" s="22" t="s">
        <v>182</v>
      </c>
      <c r="C62" s="50"/>
      <c r="D62" s="40" t="s">
        <v>16</v>
      </c>
      <c r="E62" s="48">
        <f>Założenia!E26</f>
        <v>0</v>
      </c>
      <c r="F62" s="48">
        <f>Założenia!F26</f>
        <v>0</v>
      </c>
      <c r="G62" s="48">
        <f>Założenia!G26</f>
        <v>0</v>
      </c>
      <c r="H62" s="48">
        <f>Założenia!H26</f>
        <v>0</v>
      </c>
      <c r="I62" s="48">
        <f>Założenia!I18</f>
        <v>0</v>
      </c>
      <c r="J62" s="48">
        <f>Założenia!J18</f>
        <v>0</v>
      </c>
      <c r="K62" s="48">
        <f>Założenia!K18</f>
        <v>0</v>
      </c>
      <c r="L62" s="48">
        <f>Założenia!L18</f>
        <v>0</v>
      </c>
      <c r="M62" s="48">
        <f>Założenia!M18</f>
        <v>0</v>
      </c>
      <c r="N62" s="48">
        <f>Założenia!N18</f>
        <v>0</v>
      </c>
      <c r="O62" s="48">
        <f>Założenia!O18</f>
        <v>0</v>
      </c>
      <c r="P62" s="48">
        <f>Założenia!P18</f>
        <v>0</v>
      </c>
      <c r="Q62" s="48">
        <f>Założenia!Q18</f>
        <v>0</v>
      </c>
      <c r="R62" s="48">
        <f>Założenia!R18</f>
        <v>0</v>
      </c>
      <c r="S62" s="48">
        <f>Założenia!S18</f>
        <v>0</v>
      </c>
      <c r="T62" s="48">
        <f>Założenia!T18</f>
        <v>0</v>
      </c>
      <c r="U62" s="48">
        <f>Założenia!U18</f>
        <v>0</v>
      </c>
    </row>
    <row r="63" spans="1:21">
      <c r="A63" s="21">
        <v>2</v>
      </c>
      <c r="B63" s="22" t="s">
        <v>183</v>
      </c>
      <c r="C63" s="50"/>
      <c r="D63" s="40" t="s">
        <v>16</v>
      </c>
      <c r="E63" s="48">
        <f>Założenia!E29</f>
        <v>0</v>
      </c>
      <c r="F63" s="48">
        <f>Założenia!F29</f>
        <v>0</v>
      </c>
      <c r="G63" s="48">
        <f>Założenia!G29</f>
        <v>0</v>
      </c>
      <c r="H63" s="48">
        <f>Założenia!H29</f>
        <v>0</v>
      </c>
      <c r="I63" s="48">
        <f>Założenia!I21</f>
        <v>0</v>
      </c>
      <c r="J63" s="48">
        <f>Założenia!J21</f>
        <v>0</v>
      </c>
      <c r="K63" s="48">
        <f>Założenia!K21</f>
        <v>0</v>
      </c>
      <c r="L63" s="48">
        <f>Założenia!L21</f>
        <v>0</v>
      </c>
      <c r="M63" s="48">
        <f>Założenia!M21</f>
        <v>0</v>
      </c>
      <c r="N63" s="48">
        <f>Założenia!N21</f>
        <v>0</v>
      </c>
      <c r="O63" s="48">
        <f>Założenia!O21</f>
        <v>0</v>
      </c>
      <c r="P63" s="48">
        <f>Założenia!P21</f>
        <v>0</v>
      </c>
      <c r="Q63" s="48">
        <f>Założenia!Q21</f>
        <v>0</v>
      </c>
      <c r="R63" s="48">
        <f>Założenia!R21</f>
        <v>0</v>
      </c>
      <c r="S63" s="48">
        <f>Założenia!S21</f>
        <v>0</v>
      </c>
      <c r="T63" s="48">
        <f>Założenia!T21</f>
        <v>0</v>
      </c>
      <c r="U63" s="48">
        <f>Założenia!U21</f>
        <v>0</v>
      </c>
    </row>
    <row r="64" spans="1:21">
      <c r="A64" s="21">
        <v>3</v>
      </c>
      <c r="B64" s="22" t="s">
        <v>184</v>
      </c>
      <c r="C64" s="22"/>
      <c r="D64" s="40" t="s">
        <v>16</v>
      </c>
      <c r="E64" s="47">
        <f>Założenia!E24</f>
        <v>0</v>
      </c>
      <c r="F64" s="47">
        <f>Założenia!F24</f>
        <v>0</v>
      </c>
      <c r="G64" s="47">
        <f>Założenia!G24</f>
        <v>0</v>
      </c>
      <c r="H64" s="47">
        <f>Założenia!H24</f>
        <v>0</v>
      </c>
      <c r="I64" s="47">
        <f>Założenia!I24</f>
        <v>261670</v>
      </c>
      <c r="J64" s="47">
        <f>Założenia!J24</f>
        <v>5454757.9699999997</v>
      </c>
      <c r="K64" s="47">
        <f>Założenia!K24</f>
        <v>0</v>
      </c>
      <c r="L64" s="47">
        <f>Założenia!L24</f>
        <v>0</v>
      </c>
      <c r="M64" s="47">
        <f>Założenia!M24</f>
        <v>0</v>
      </c>
      <c r="N64" s="47">
        <f>Założenia!N24</f>
        <v>0</v>
      </c>
      <c r="O64" s="47">
        <f>Założenia!O24</f>
        <v>0</v>
      </c>
      <c r="P64" s="47">
        <f>Założenia!P24</f>
        <v>0</v>
      </c>
      <c r="Q64" s="47">
        <f>Założenia!Q24</f>
        <v>0</v>
      </c>
      <c r="R64" s="47">
        <f>Założenia!R24</f>
        <v>0</v>
      </c>
      <c r="S64" s="47">
        <f>Założenia!S24</f>
        <v>0</v>
      </c>
      <c r="T64" s="47">
        <f>Założenia!T24</f>
        <v>0</v>
      </c>
      <c r="U64" s="47">
        <f>Założenia!U24</f>
        <v>0</v>
      </c>
    </row>
    <row r="65" spans="1:22">
      <c r="A65" s="21">
        <v>4</v>
      </c>
      <c r="B65" s="22" t="s">
        <v>185</v>
      </c>
      <c r="C65" s="22"/>
      <c r="D65" s="40" t="s">
        <v>16</v>
      </c>
      <c r="E65" s="47">
        <f>Założenia!E27</f>
        <v>0</v>
      </c>
      <c r="F65" s="47">
        <f>Założenia!F27</f>
        <v>0</v>
      </c>
      <c r="G65" s="47">
        <f>Założenia!G27</f>
        <v>0</v>
      </c>
      <c r="H65" s="47">
        <f>Założenia!H27</f>
        <v>0</v>
      </c>
      <c r="I65" s="47">
        <f>Założenia!I27</f>
        <v>0</v>
      </c>
      <c r="J65" s="47">
        <f>Założenia!J27</f>
        <v>3085493.8899999997</v>
      </c>
      <c r="K65" s="47">
        <f>Założenia!K27</f>
        <v>0</v>
      </c>
      <c r="L65" s="47">
        <f>Założenia!L27</f>
        <v>0</v>
      </c>
      <c r="M65" s="47">
        <f>Założenia!M27</f>
        <v>0</v>
      </c>
      <c r="N65" s="47">
        <f>Założenia!N27</f>
        <v>0</v>
      </c>
      <c r="O65" s="47">
        <f>Założenia!O27</f>
        <v>0</v>
      </c>
      <c r="P65" s="47">
        <f>Założenia!P27</f>
        <v>0</v>
      </c>
      <c r="Q65" s="47">
        <f>Założenia!Q27</f>
        <v>0</v>
      </c>
      <c r="R65" s="47">
        <f>Założenia!R27</f>
        <v>0</v>
      </c>
      <c r="S65" s="47">
        <f>Założenia!S27</f>
        <v>0</v>
      </c>
      <c r="T65" s="47">
        <f>Założenia!T27</f>
        <v>0</v>
      </c>
      <c r="U65" s="47">
        <f>Założenia!U27</f>
        <v>0</v>
      </c>
    </row>
    <row r="66" spans="1:22">
      <c r="A66" s="21">
        <v>5</v>
      </c>
      <c r="B66" s="22" t="s">
        <v>186</v>
      </c>
      <c r="C66" s="25"/>
      <c r="D66" s="40" t="s">
        <v>16</v>
      </c>
      <c r="E66" s="48">
        <f>Założenia!E30</f>
        <v>0</v>
      </c>
      <c r="F66" s="48">
        <f>Założenia!F30</f>
        <v>0</v>
      </c>
      <c r="G66" s="48">
        <f>Założenia!G30</f>
        <v>0</v>
      </c>
      <c r="H66" s="48">
        <f>Założenia!H30</f>
        <v>0</v>
      </c>
      <c r="I66" s="48">
        <f>Założenia!I30</f>
        <v>0</v>
      </c>
      <c r="J66" s="48">
        <f>Założenia!J30</f>
        <v>46120000</v>
      </c>
      <c r="K66" s="48">
        <f>Założenia!K30</f>
        <v>0</v>
      </c>
      <c r="L66" s="48">
        <f>Założenia!L30</f>
        <v>0</v>
      </c>
      <c r="M66" s="48">
        <f>Założenia!M30</f>
        <v>0</v>
      </c>
      <c r="N66" s="48">
        <f>Założenia!N30</f>
        <v>0</v>
      </c>
      <c r="O66" s="48">
        <f>Założenia!O30</f>
        <v>0</v>
      </c>
      <c r="P66" s="48">
        <f>Założenia!P30</f>
        <v>0</v>
      </c>
      <c r="Q66" s="48">
        <f>Założenia!Q30</f>
        <v>0</v>
      </c>
      <c r="R66" s="48">
        <f>Założenia!R30</f>
        <v>0</v>
      </c>
      <c r="S66" s="48">
        <f>Założenia!S30</f>
        <v>0</v>
      </c>
      <c r="T66" s="48">
        <f>Założenia!T30</f>
        <v>0</v>
      </c>
      <c r="U66" s="48">
        <f>Założenia!U30</f>
        <v>0</v>
      </c>
    </row>
    <row r="67" spans="1:22" ht="10.8" thickBot="1">
      <c r="A67" s="24">
        <v>6</v>
      </c>
      <c r="B67" s="25" t="s">
        <v>187</v>
      </c>
      <c r="C67" s="25"/>
      <c r="D67" s="40" t="s">
        <v>16</v>
      </c>
      <c r="E67" s="48">
        <f>Założenia!E33</f>
        <v>0</v>
      </c>
      <c r="F67" s="48">
        <f>Założenia!F33</f>
        <v>0</v>
      </c>
      <c r="G67" s="48">
        <f>Założenia!G33</f>
        <v>0</v>
      </c>
      <c r="H67" s="48">
        <f>Założenia!H33</f>
        <v>0</v>
      </c>
      <c r="I67" s="48">
        <f>Założenia!I33</f>
        <v>0</v>
      </c>
      <c r="J67" s="48">
        <f>Założenia!J33</f>
        <v>0</v>
      </c>
      <c r="K67" s="48">
        <f>Założenia!K33</f>
        <v>0</v>
      </c>
      <c r="L67" s="48">
        <f>Założenia!L33</f>
        <v>0</v>
      </c>
      <c r="M67" s="48">
        <f>Założenia!M33</f>
        <v>0</v>
      </c>
      <c r="N67" s="48">
        <f>Założenia!N33</f>
        <v>0</v>
      </c>
      <c r="O67" s="48">
        <f>Założenia!O33</f>
        <v>0</v>
      </c>
      <c r="P67" s="48">
        <f>Założenia!P33</f>
        <v>0</v>
      </c>
      <c r="Q67" s="48">
        <f>Założenia!Q33</f>
        <v>0</v>
      </c>
      <c r="R67" s="48">
        <f>Założenia!R33</f>
        <v>0</v>
      </c>
      <c r="S67" s="48">
        <f>Założenia!S33</f>
        <v>0</v>
      </c>
      <c r="T67" s="48">
        <f>Założenia!T33</f>
        <v>0</v>
      </c>
      <c r="U67" s="48">
        <f>Założenia!U33</f>
        <v>0</v>
      </c>
    </row>
    <row r="68" spans="1:22" ht="10.8" thickBot="1">
      <c r="A68" s="27">
        <v>7</v>
      </c>
      <c r="B68" s="28" t="s">
        <v>11</v>
      </c>
      <c r="C68" s="28"/>
      <c r="D68" s="41" t="s">
        <v>16</v>
      </c>
      <c r="E68" s="49">
        <f>SUM(E64:E67)</f>
        <v>0</v>
      </c>
      <c r="F68" s="49">
        <f t="shared" ref="F68:U68" si="20">SUM(F64:F67)</f>
        <v>0</v>
      </c>
      <c r="G68" s="49">
        <f t="shared" si="20"/>
        <v>0</v>
      </c>
      <c r="H68" s="49">
        <f t="shared" si="20"/>
        <v>0</v>
      </c>
      <c r="I68" s="49">
        <f t="shared" si="20"/>
        <v>261670</v>
      </c>
      <c r="J68" s="49">
        <f t="shared" si="20"/>
        <v>54660251.859999999</v>
      </c>
      <c r="K68" s="49">
        <f t="shared" si="20"/>
        <v>0</v>
      </c>
      <c r="L68" s="49">
        <f t="shared" si="20"/>
        <v>0</v>
      </c>
      <c r="M68" s="49">
        <f t="shared" si="20"/>
        <v>0</v>
      </c>
      <c r="N68" s="49">
        <f t="shared" si="20"/>
        <v>0</v>
      </c>
      <c r="O68" s="49">
        <f t="shared" si="20"/>
        <v>0</v>
      </c>
      <c r="P68" s="49">
        <f t="shared" si="20"/>
        <v>0</v>
      </c>
      <c r="Q68" s="49">
        <f t="shared" si="20"/>
        <v>0</v>
      </c>
      <c r="R68" s="49">
        <f t="shared" si="20"/>
        <v>0</v>
      </c>
      <c r="S68" s="49">
        <f t="shared" si="20"/>
        <v>0</v>
      </c>
      <c r="T68" s="49">
        <f t="shared" si="20"/>
        <v>0</v>
      </c>
      <c r="U68" s="49">
        <f t="shared" si="20"/>
        <v>0</v>
      </c>
    </row>
    <row r="69" spans="1:22">
      <c r="A69" s="52"/>
      <c r="B69" s="53" t="s">
        <v>302</v>
      </c>
      <c r="C69" s="53"/>
      <c r="D69" s="171">
        <f>J69/(I68+J68)</f>
        <v>0.73948805184800936</v>
      </c>
      <c r="E69" s="53"/>
      <c r="F69" s="53"/>
      <c r="G69" s="53"/>
      <c r="H69" s="53"/>
      <c r="I69" s="169"/>
      <c r="J69" s="169">
        <f>Założenia!J40</f>
        <v>40614105</v>
      </c>
      <c r="K69" s="169">
        <f t="shared" ref="K69:U69" si="21">$D$69*K68</f>
        <v>0</v>
      </c>
      <c r="L69" s="169">
        <f t="shared" si="21"/>
        <v>0</v>
      </c>
      <c r="M69" s="169">
        <f t="shared" si="21"/>
        <v>0</v>
      </c>
      <c r="N69" s="169">
        <f t="shared" si="21"/>
        <v>0</v>
      </c>
      <c r="O69" s="169">
        <f t="shared" si="21"/>
        <v>0</v>
      </c>
      <c r="P69" s="169">
        <f t="shared" si="21"/>
        <v>0</v>
      </c>
      <c r="Q69" s="169">
        <f t="shared" si="21"/>
        <v>0</v>
      </c>
      <c r="R69" s="169">
        <f t="shared" si="21"/>
        <v>0</v>
      </c>
      <c r="S69" s="169">
        <f t="shared" si="21"/>
        <v>0</v>
      </c>
      <c r="T69" s="169">
        <f t="shared" si="21"/>
        <v>0</v>
      </c>
      <c r="U69" s="169">
        <f t="shared" si="21"/>
        <v>0</v>
      </c>
      <c r="V69" s="169"/>
    </row>
    <row r="70" spans="1:22">
      <c r="A70" s="18"/>
      <c r="B70" s="20"/>
      <c r="C70" s="20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2">
      <c r="A71" s="18"/>
      <c r="B71" s="34" t="s">
        <v>215</v>
      </c>
      <c r="C71" s="34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2">
      <c r="A72" s="30" t="s">
        <v>0</v>
      </c>
      <c r="B72" s="31" t="s">
        <v>4</v>
      </c>
      <c r="C72" s="31"/>
      <c r="D72" s="32" t="s">
        <v>217</v>
      </c>
      <c r="E72" s="31">
        <f t="shared" ref="E72:U72" si="22">E1</f>
        <v>2012</v>
      </c>
      <c r="F72" s="31">
        <f t="shared" si="22"/>
        <v>2013</v>
      </c>
      <c r="G72" s="31">
        <f t="shared" si="22"/>
        <v>2014</v>
      </c>
      <c r="H72" s="31">
        <f t="shared" si="22"/>
        <v>2015</v>
      </c>
      <c r="I72" s="31">
        <f t="shared" si="22"/>
        <v>2016</v>
      </c>
      <c r="J72" s="31">
        <f t="shared" si="22"/>
        <v>2017</v>
      </c>
      <c r="K72" s="31">
        <f t="shared" si="22"/>
        <v>2018</v>
      </c>
      <c r="L72" s="31">
        <f t="shared" si="22"/>
        <v>2019</v>
      </c>
      <c r="M72" s="31">
        <f t="shared" si="22"/>
        <v>2020</v>
      </c>
      <c r="N72" s="31">
        <f t="shared" si="22"/>
        <v>2021</v>
      </c>
      <c r="O72" s="31">
        <f t="shared" si="22"/>
        <v>2022</v>
      </c>
      <c r="P72" s="31">
        <f t="shared" si="22"/>
        <v>2023</v>
      </c>
      <c r="Q72" s="31">
        <f t="shared" si="22"/>
        <v>2024</v>
      </c>
      <c r="R72" s="31">
        <f t="shared" si="22"/>
        <v>2025</v>
      </c>
      <c r="S72" s="31">
        <f t="shared" si="22"/>
        <v>2026</v>
      </c>
      <c r="T72" s="31">
        <f t="shared" si="22"/>
        <v>2027</v>
      </c>
      <c r="U72" s="31">
        <f t="shared" si="22"/>
        <v>2028</v>
      </c>
    </row>
    <row r="73" spans="1:22">
      <c r="A73" s="21">
        <v>1</v>
      </c>
      <c r="B73" s="22" t="s">
        <v>182</v>
      </c>
      <c r="C73" s="50"/>
      <c r="D73" s="40"/>
      <c r="E73" s="67"/>
      <c r="F73" s="67">
        <f>IF((SUM($E62:E62)*$D73)&gt;=E84,(SUM($E62:E62)*$D73),E84)</f>
        <v>0</v>
      </c>
      <c r="G73" s="67">
        <f>IF((SUM($E62:F62)*$D73)&lt;=F84,(SUM($E62:F62)*$D73),F84)</f>
        <v>0</v>
      </c>
      <c r="H73" s="67">
        <f>IF((SUM($E62:G62)*$D73)&lt;=G84,(SUM($E62:G62)*$D73),G84)</f>
        <v>0</v>
      </c>
      <c r="I73" s="67">
        <f>IF((SUM($E62:H62)*$D73)&lt;=H84,(SUM($E62:H62)*$D73),H84)</f>
        <v>0</v>
      </c>
      <c r="J73" s="67">
        <f>IF((SUM(E62:I62)*$D73)&gt;=I84,(SUM(E62:I62)*$D73),I84)</f>
        <v>0</v>
      </c>
      <c r="K73" s="67">
        <f t="shared" ref="K73:U73" si="23">IF((SUM(F62:J62)*$D73)&gt;=J84,(SUM(F62:J62)*$D73),J84)</f>
        <v>0</v>
      </c>
      <c r="L73" s="67">
        <f t="shared" si="23"/>
        <v>0</v>
      </c>
      <c r="M73" s="67">
        <f t="shared" si="23"/>
        <v>0</v>
      </c>
      <c r="N73" s="67">
        <f t="shared" si="23"/>
        <v>0</v>
      </c>
      <c r="O73" s="67">
        <f t="shared" si="23"/>
        <v>0</v>
      </c>
      <c r="P73" s="67">
        <f t="shared" si="23"/>
        <v>0</v>
      </c>
      <c r="Q73" s="67">
        <f t="shared" si="23"/>
        <v>0</v>
      </c>
      <c r="R73" s="67">
        <f t="shared" si="23"/>
        <v>0</v>
      </c>
      <c r="S73" s="67">
        <f t="shared" si="23"/>
        <v>0</v>
      </c>
      <c r="T73" s="67">
        <f t="shared" si="23"/>
        <v>0</v>
      </c>
      <c r="U73" s="67">
        <f t="shared" si="23"/>
        <v>0</v>
      </c>
    </row>
    <row r="74" spans="1:22">
      <c r="A74" s="21">
        <v>2</v>
      </c>
      <c r="B74" s="22" t="s">
        <v>183</v>
      </c>
      <c r="C74" s="50"/>
      <c r="D74" s="40"/>
      <c r="E74" s="68"/>
      <c r="F74" s="67">
        <f>IF((SUM($E63:E63)*$D74)&gt;=E85,(SUM($E63:E63)*$D74),E85)</f>
        <v>0</v>
      </c>
      <c r="G74" s="67">
        <f>IF((SUM($E63:F63)*$D74)&lt;=F85,(SUM($E63:F63)*$D74),F85)</f>
        <v>0</v>
      </c>
      <c r="H74" s="67">
        <f>IF((SUM($E63:G63)*$D74)&lt;=G85,(SUM($E63:G63)*$D74),G85)</f>
        <v>0</v>
      </c>
      <c r="I74" s="67">
        <f>IF((SUM($E63:H63)*$D74)&lt;=H85,(SUM($E63:H63)*$D74),H85)</f>
        <v>0</v>
      </c>
      <c r="J74" s="67">
        <f>IF((SUM($E63:I63)*$D74)&gt;=I85,(SUM($E63:I63)*$D74),I85)</f>
        <v>0</v>
      </c>
      <c r="K74" s="67">
        <f>IF((SUM($E63:J63)*$D74)&gt;=J85,(SUM($E63:J63)*$D74),J85)</f>
        <v>0</v>
      </c>
      <c r="L74" s="67">
        <f>IF((SUM($E63:K63)*$D74)&gt;=K85,(SUM($E63:K63)*$D74),K85)</f>
        <v>0</v>
      </c>
      <c r="M74" s="67">
        <f>IF((SUM($E63:L63)*$D74)&gt;=L85,(SUM($E63:L63)*$D74),L85)</f>
        <v>0</v>
      </c>
      <c r="N74" s="67">
        <f>IF((SUM($E63:M63)*$D74)&gt;=M85,(SUM($E63:M63)*$D74),M85)</f>
        <v>0</v>
      </c>
      <c r="O74" s="67">
        <f>IF((SUM($E63:N63)*$D74)&gt;=N85,(SUM($E63:N63)*$D74),N85)</f>
        <v>0</v>
      </c>
      <c r="P74" s="67">
        <f>IF((SUM($E63:O63)*$D74)&gt;=O85,(SUM($E63:O63)*$D74),O85)</f>
        <v>0</v>
      </c>
      <c r="Q74" s="67">
        <f>IF((SUM($E63:P63)*$D74)&gt;=P85,(SUM($E63:P63)*$D74),P85)</f>
        <v>0</v>
      </c>
      <c r="R74" s="67">
        <f>IF((SUM($E63:Q63)*$D74)&gt;=Q85,(SUM($E63:Q63)*$D74),Q85)</f>
        <v>0</v>
      </c>
      <c r="S74" s="67">
        <f>IF((SUM($E63:R63)*$D74)&gt;=R85,(SUM($E63:R63)*$D74),R85)</f>
        <v>0</v>
      </c>
      <c r="T74" s="67">
        <f>IF((SUM($E63:S63)*$D74)&gt;=S85,(SUM($E63:S63)*$D74),S85)</f>
        <v>0</v>
      </c>
      <c r="U74" s="67">
        <f>IF((SUM($E63:T63)*$D74)&gt;=T85,(SUM($E63:T63)*$D74),T85)</f>
        <v>0</v>
      </c>
    </row>
    <row r="75" spans="1:22">
      <c r="A75" s="21">
        <v>3</v>
      </c>
      <c r="B75" s="22" t="s">
        <v>184</v>
      </c>
      <c r="C75" s="50"/>
      <c r="D75" s="40">
        <v>4.4999999999999998E-2</v>
      </c>
      <c r="E75" s="68"/>
      <c r="F75" s="67">
        <f>IF((SUM($E64:E64)*$D75)&gt;=E86,(SUM($E64:E64)*$D75),E86)</f>
        <v>0</v>
      </c>
      <c r="G75" s="67">
        <f>IF((SUM($E64:F64)*$D75)&lt;=F86,(SUM($E64:F64)*$D75),F86)</f>
        <v>0</v>
      </c>
      <c r="H75" s="67">
        <f>IF((SUM($E64:G64)*$D75)&lt;=G86,(SUM($E64:G64)*$D75),G86)</f>
        <v>0</v>
      </c>
      <c r="I75" s="67">
        <f>IF((SUM($E64:H64)*$D75)&lt;=H86,(SUM($E64:H64)*$D75),H86)</f>
        <v>0</v>
      </c>
      <c r="J75" s="67">
        <v>0</v>
      </c>
      <c r="K75" s="67">
        <f>IF((SUM($E64:J64)*$D75)&lt;=J86,(SUM($E64:J64)*$D75),J86)</f>
        <v>257239.25864999997</v>
      </c>
      <c r="L75" s="67">
        <f>IF((SUM($E64:K64)*$D75)&lt;=K86,(SUM($E64:K64)*$D75),K86)</f>
        <v>257239.25864999997</v>
      </c>
      <c r="M75" s="67">
        <f>IF((SUM($E64:L64)*$D75)&lt;=L86,(SUM($E64:L64)*$D75),L86)</f>
        <v>257239.25864999997</v>
      </c>
      <c r="N75" s="67">
        <f>IF((SUM($E64:M64)*$D75)&lt;=M86,(SUM($E64:M64)*$D75),M86)</f>
        <v>257239.25864999997</v>
      </c>
      <c r="O75" s="67">
        <f>IF((SUM($E64:N64)*$D75)&lt;=N86,(SUM($E64:N64)*$D75),N86)</f>
        <v>257239.25864999997</v>
      </c>
      <c r="P75" s="67">
        <f>IF((SUM($E64:O64)*$D75)&lt;=O86,(SUM($E64:O64)*$D75),O86)</f>
        <v>257239.25864999997</v>
      </c>
      <c r="Q75" s="67">
        <f>IF((SUM($E64:P64)*$D75)&lt;=P86,(SUM($E64:P64)*$D75),P86)</f>
        <v>257239.25864999997</v>
      </c>
      <c r="R75" s="67">
        <f>IF((SUM($E64:Q64)*$D75)&lt;=Q86,(SUM($E64:Q64)*$D75),Q86)</f>
        <v>257239.25864999997</v>
      </c>
      <c r="S75" s="67">
        <f>IF((SUM($E64:R64)*$D75)&lt;=R86,(SUM($E64:R64)*$D75),R86)</f>
        <v>257239.25864999997</v>
      </c>
      <c r="T75" s="67">
        <f>IF((SUM($E64:S64)*$D75)&lt;=S86,(SUM($E64:S64)*$D75),S86)</f>
        <v>257239.25864999997</v>
      </c>
      <c r="U75" s="67">
        <f>IF((SUM($E64:T64)*$D75)&lt;=T86,(SUM($E64:T64)*$D75),T86)</f>
        <v>257239.25864999997</v>
      </c>
    </row>
    <row r="76" spans="1:22">
      <c r="A76" s="21">
        <v>4</v>
      </c>
      <c r="B76" s="22" t="s">
        <v>185</v>
      </c>
      <c r="C76" s="50"/>
      <c r="D76" s="40">
        <v>0.18</v>
      </c>
      <c r="E76" s="68"/>
      <c r="F76" s="67">
        <f>IF((SUM($E65:E65)*$D76)&gt;=E87,(SUM($E65:E65)*$D76),E87)</f>
        <v>0</v>
      </c>
      <c r="G76" s="67">
        <f>IF((SUM($E65:F65)*$D76)&lt;=F87,(SUM($E65:F65)*$D76),F87)</f>
        <v>0</v>
      </c>
      <c r="H76" s="67">
        <f>IF((SUM($E65:G65)*$D76)&lt;=G87,(SUM($E65:G65)*$D76),G87)</f>
        <v>0</v>
      </c>
      <c r="I76" s="67">
        <f>IF((SUM($E65:H65)*$D76)&lt;=H87,(SUM($E65:H65)*$D76),H87)</f>
        <v>0</v>
      </c>
      <c r="J76" s="67">
        <f>IF((SUM($E65:I65)*$D76)&lt;=I87,(SUM($E65:I65)*$D76),I87)</f>
        <v>0</v>
      </c>
      <c r="K76" s="67">
        <f>IF((SUM($E65:J65)*$D76)&lt;=J87,(SUM($E65:J65)*$D76),J87)</f>
        <v>555388.90019999992</v>
      </c>
      <c r="L76" s="67">
        <f>IF((SUM($E65:K65)*$D76)&lt;=K87,(SUM($E65:K65)*$D76),K87)</f>
        <v>555388.90019999992</v>
      </c>
      <c r="M76" s="67">
        <f>IF((SUM($E65:L65)*$D76)&lt;=L87,(SUM($E65:L65)*$D76),L87)</f>
        <v>555388.90019999992</v>
      </c>
      <c r="N76" s="67">
        <f>IF((SUM($E65:M65)*$D76)&lt;=M87,(SUM($E65:M65)*$D76),M87)</f>
        <v>555388.90019999992</v>
      </c>
      <c r="O76" s="67">
        <f>IF((SUM($E65:N65)*$D76)&lt;=N87,(SUM($E65:N65)*$D76),N87)</f>
        <v>555388.90019999992</v>
      </c>
      <c r="P76" s="67">
        <f>IF((SUM($E65:O65)*$D76)&lt;=O87,(SUM($E65:O65)*$D76),O87)</f>
        <v>308549.38899999973</v>
      </c>
      <c r="Q76" s="67">
        <f>IF((SUM($E65:P65)*$D76)&lt;=P87,(SUM($E65:P65)*$D76),P87)</f>
        <v>0</v>
      </c>
      <c r="R76" s="67">
        <f>IF((SUM($E65:Q65)*$D76)&lt;=Q87,(SUM($E65:Q65)*$D76),Q87)</f>
        <v>0</v>
      </c>
      <c r="S76" s="67">
        <f>IF((SUM($E65:R65)*$D76)&lt;=R87,(SUM($E65:R65)*$D76),R87)</f>
        <v>0</v>
      </c>
      <c r="T76" s="67">
        <f>IF((SUM($E65:S65)*$D76)&lt;=S87,(SUM($E65:S65)*$D76),S87)</f>
        <v>0</v>
      </c>
      <c r="U76" s="67">
        <f>IF((SUM($E65:T65)*$D76)&lt;=T87,(SUM($E65:T65)*$D76),T87)</f>
        <v>0</v>
      </c>
    </row>
    <row r="77" spans="1:22">
      <c r="A77" s="21">
        <v>5</v>
      </c>
      <c r="B77" s="22" t="s">
        <v>186</v>
      </c>
      <c r="C77" s="50"/>
      <c r="D77" s="40">
        <v>0.1</v>
      </c>
      <c r="E77" s="68"/>
      <c r="F77" s="67">
        <f>IF((SUM($E66:E66)*$D77)&gt;=E88,(SUM($E66:E66)*$D77),E88)</f>
        <v>0</v>
      </c>
      <c r="G77" s="67">
        <f>IF((SUM($E66:F66)*$D77)&lt;=F88,(SUM($E66:F66)*$D77),F88)</f>
        <v>0</v>
      </c>
      <c r="H77" s="67">
        <f>IF((SUM($E66:G66)*$D77)&lt;=G88,(SUM($E66:G66)*$D77),G88)</f>
        <v>0</v>
      </c>
      <c r="I77" s="67">
        <f>IF((SUM($E66:H66)*$D77)&lt;=H88,(SUM($E66:H66)*$D77),H88)</f>
        <v>0</v>
      </c>
      <c r="J77" s="67">
        <f>IF((SUM($E66:I66)*$D77)&gt;=I88,(SUM($E66:I66)*$D77),I88)</f>
        <v>0</v>
      </c>
      <c r="K77" s="67">
        <f>IF((SUM($E66:J66)*$D77)&lt;=J88,(SUM($E66:J66)*$D77),J88)</f>
        <v>4612000</v>
      </c>
      <c r="L77" s="67">
        <f>IF((SUM($E66:K66)*$D77)&lt;=K88,(SUM($E66:K66)*$D77),K88)</f>
        <v>4612000</v>
      </c>
      <c r="M77" s="67">
        <f>IF((SUM($E66:L66)*$D77)&lt;=L88,(SUM($E66:L66)*$D77),L88)</f>
        <v>4612000</v>
      </c>
      <c r="N77" s="67">
        <f>IF((SUM($E66:M66)*$D77)&lt;=M88,(SUM($E66:M66)*$D77),M88)</f>
        <v>4612000</v>
      </c>
      <c r="O77" s="67">
        <f>IF((SUM($E66:N66)*$D77)&lt;=N88,(SUM($E66:N66)*$D77),N88)</f>
        <v>4612000</v>
      </c>
      <c r="P77" s="67">
        <f>IF((SUM($E66:O66)*$D77)&lt;=O88,(SUM($E66:O66)*$D77),O88)</f>
        <v>4612000</v>
      </c>
      <c r="Q77" s="67">
        <f>IF((SUM($E66:P66)*$D77)&lt;=P88,(SUM($E66:P66)*$D77),P88)</f>
        <v>4612000</v>
      </c>
      <c r="R77" s="67">
        <f>IF((SUM($E66:Q66)*$D77)&lt;=Q88,(SUM($E66:Q66)*$D77),Q88)</f>
        <v>4612000</v>
      </c>
      <c r="S77" s="67">
        <f>IF((SUM($E66:R66)*$D77)&lt;=R88,(SUM($E66:R66)*$D77),R88)</f>
        <v>4612000</v>
      </c>
      <c r="T77" s="67">
        <f>IF((SUM($E66:S66)*$D77)&lt;=S88,(SUM($E66:S66)*$D77),S88)</f>
        <v>4612000</v>
      </c>
      <c r="U77" s="67">
        <f>IF((SUM($E66:T66)*$D77)&lt;=T88,(SUM($E66:T66)*$D77),T88)</f>
        <v>0</v>
      </c>
    </row>
    <row r="78" spans="1:22" ht="10.8" thickBot="1">
      <c r="A78" s="24">
        <v>6</v>
      </c>
      <c r="B78" s="25" t="s">
        <v>187</v>
      </c>
      <c r="C78" s="50"/>
      <c r="D78" s="51"/>
      <c r="E78" s="69"/>
      <c r="F78" s="67">
        <f>IF((SUM($E67:E67)*$D78)&gt;=E89,(SUM($E67:E67)*$D78),E89)</f>
        <v>0</v>
      </c>
      <c r="G78" s="67">
        <f>IF((SUM($E67:F67)*$D78)&lt;=F89,(SUM($E67:F67)*$D78),F89)</f>
        <v>0</v>
      </c>
      <c r="H78" s="67">
        <f>IF((SUM($E67:G67)*$D78)&lt;=G89,(SUM($E67:G67)*$D78),G89)</f>
        <v>0</v>
      </c>
      <c r="I78" s="67">
        <f>IF((SUM($E67:H67)*$D78)&lt;=H89,(SUM($E67:H67)*$D78),H89)</f>
        <v>0</v>
      </c>
      <c r="J78" s="67">
        <f>IF((SUM($E67:I67)*$D78)&gt;=I89,(SUM($E67:I67)*$D78),I89)</f>
        <v>0</v>
      </c>
      <c r="K78" s="67">
        <f>IF((SUM($E67:J67)*$D78)&gt;=J89,(SUM($E67:J67)*$D78),J89)</f>
        <v>0</v>
      </c>
      <c r="L78" s="67">
        <f>IF((SUM($E67:K67)*$D78)&gt;=K89,(SUM($E67:K67)*$D78),K89)</f>
        <v>0</v>
      </c>
      <c r="M78" s="67">
        <f>IF((SUM($E67:L67)*$D78)&gt;=L89,(SUM($E67:L67)*$D78),L89)</f>
        <v>0</v>
      </c>
      <c r="N78" s="67">
        <f>IF((SUM($E67:M67)*$D78)&gt;=M89,(SUM($E67:M67)*$D78),M89)</f>
        <v>0</v>
      </c>
      <c r="O78" s="67">
        <f>IF((SUM($E67:N67)*$D78)&gt;=N89,(SUM($E67:N67)*$D78),N89)</f>
        <v>0</v>
      </c>
      <c r="P78" s="67">
        <f>IF((SUM($E67:O67)*$D78)&gt;=O89,(SUM($E67:O67)*$D78),O89)</f>
        <v>0</v>
      </c>
      <c r="Q78" s="67">
        <f>IF((SUM($E67:P67)*$D78)&gt;=P89,(SUM($E67:P67)*$D78),P89)</f>
        <v>0</v>
      </c>
      <c r="R78" s="67">
        <f>IF((SUM($E67:Q67)*$D78)&gt;=Q89,(SUM($E67:Q67)*$D78),Q89)</f>
        <v>0</v>
      </c>
      <c r="S78" s="67">
        <f>IF((SUM($E67:R67)*$D78)&gt;=R89,(SUM($E67:R67)*$D78),R89)</f>
        <v>0</v>
      </c>
      <c r="T78" s="67">
        <f>IF((SUM($E67:S67)*$D78)&gt;=S89,(SUM($E67:S67)*$D78),S89)</f>
        <v>0</v>
      </c>
      <c r="U78" s="67">
        <f>IF((SUM($E67:T67)*$D78)&gt;=T89,(SUM($E67:T67)*$D78),T89)</f>
        <v>0</v>
      </c>
    </row>
    <row r="79" spans="1:22" ht="10.8" thickBot="1">
      <c r="A79" s="27">
        <v>7</v>
      </c>
      <c r="B79" s="28" t="s">
        <v>11</v>
      </c>
      <c r="C79" s="28"/>
      <c r="D79" s="41"/>
      <c r="E79" s="70">
        <f>SUM(E73:E78)</f>
        <v>0</v>
      </c>
      <c r="F79" s="70">
        <f t="shared" ref="F79:U79" si="24">SUM(F73:F78)</f>
        <v>0</v>
      </c>
      <c r="G79" s="70">
        <f t="shared" si="24"/>
        <v>0</v>
      </c>
      <c r="H79" s="70">
        <f t="shared" si="24"/>
        <v>0</v>
      </c>
      <c r="I79" s="70">
        <f t="shared" si="24"/>
        <v>0</v>
      </c>
      <c r="J79" s="70">
        <f t="shared" si="24"/>
        <v>0</v>
      </c>
      <c r="K79" s="70">
        <f t="shared" si="24"/>
        <v>5424628.1588500002</v>
      </c>
      <c r="L79" s="70">
        <f t="shared" si="24"/>
        <v>5424628.1588500002</v>
      </c>
      <c r="M79" s="70">
        <f t="shared" si="24"/>
        <v>5424628.1588500002</v>
      </c>
      <c r="N79" s="70">
        <f t="shared" si="24"/>
        <v>5424628.1588500002</v>
      </c>
      <c r="O79" s="70">
        <f t="shared" si="24"/>
        <v>5424628.1588500002</v>
      </c>
      <c r="P79" s="70">
        <f t="shared" si="24"/>
        <v>5177788.6476499997</v>
      </c>
      <c r="Q79" s="70">
        <f t="shared" si="24"/>
        <v>4869239.2586500002</v>
      </c>
      <c r="R79" s="70">
        <f t="shared" si="24"/>
        <v>4869239.2586500002</v>
      </c>
      <c r="S79" s="70">
        <f t="shared" si="24"/>
        <v>4869239.2586500002</v>
      </c>
      <c r="T79" s="70">
        <f t="shared" si="24"/>
        <v>4869239.2586500002</v>
      </c>
      <c r="U79" s="70">
        <f t="shared" si="24"/>
        <v>257239.25864999997</v>
      </c>
    </row>
    <row r="80" spans="1:22" ht="13.95" customHeight="1">
      <c r="A80" s="18"/>
      <c r="B80" s="20" t="s">
        <v>288</v>
      </c>
      <c r="C80" s="20"/>
      <c r="D80" s="172">
        <f>D69</f>
        <v>0.73948805184800936</v>
      </c>
      <c r="E80" s="20"/>
      <c r="F80" s="20"/>
      <c r="G80" s="20"/>
      <c r="H80" s="20"/>
      <c r="I80" s="20"/>
      <c r="J80" s="20"/>
      <c r="K80" s="161">
        <f>ROUND(K79*$D$80,2)</f>
        <v>4011447.71</v>
      </c>
      <c r="L80" s="161">
        <f t="shared" ref="L80:U80" si="25">ROUND(L79*$D$80,2)</f>
        <v>4011447.71</v>
      </c>
      <c r="M80" s="161">
        <f t="shared" si="25"/>
        <v>4011447.71</v>
      </c>
      <c r="N80" s="161">
        <f t="shared" si="25"/>
        <v>4011447.71</v>
      </c>
      <c r="O80" s="161">
        <f t="shared" si="25"/>
        <v>4011447.71</v>
      </c>
      <c r="P80" s="161">
        <f t="shared" si="25"/>
        <v>3828912.84</v>
      </c>
      <c r="Q80" s="161">
        <f t="shared" si="25"/>
        <v>3600744.25</v>
      </c>
      <c r="R80" s="161">
        <f t="shared" si="25"/>
        <v>3600744.25</v>
      </c>
      <c r="S80" s="161">
        <f t="shared" si="25"/>
        <v>3600744.25</v>
      </c>
      <c r="T80" s="161">
        <f t="shared" si="25"/>
        <v>3600744.25</v>
      </c>
      <c r="U80" s="161">
        <f t="shared" si="25"/>
        <v>190225.36</v>
      </c>
    </row>
    <row r="81" spans="1:21">
      <c r="A81" s="18"/>
      <c r="B81" s="20"/>
      <c r="C81" s="20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18"/>
      <c r="B82" s="34" t="s">
        <v>216</v>
      </c>
      <c r="C82" s="34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20.399999999999999">
      <c r="A83" s="30" t="s">
        <v>0</v>
      </c>
      <c r="B83" s="31" t="s">
        <v>4</v>
      </c>
      <c r="C83" s="31"/>
      <c r="D83" s="32" t="s">
        <v>190</v>
      </c>
      <c r="E83" s="31">
        <f>E1</f>
        <v>2012</v>
      </c>
      <c r="F83" s="31">
        <f t="shared" ref="F83:U83" si="26">F1</f>
        <v>2013</v>
      </c>
      <c r="G83" s="31">
        <f t="shared" si="26"/>
        <v>2014</v>
      </c>
      <c r="H83" s="31">
        <f t="shared" si="26"/>
        <v>2015</v>
      </c>
      <c r="I83" s="31">
        <f t="shared" si="26"/>
        <v>2016</v>
      </c>
      <c r="J83" s="31">
        <f t="shared" si="26"/>
        <v>2017</v>
      </c>
      <c r="K83" s="31">
        <f t="shared" si="26"/>
        <v>2018</v>
      </c>
      <c r="L83" s="31">
        <f t="shared" si="26"/>
        <v>2019</v>
      </c>
      <c r="M83" s="31">
        <f t="shared" si="26"/>
        <v>2020</v>
      </c>
      <c r="N83" s="31">
        <f t="shared" si="26"/>
        <v>2021</v>
      </c>
      <c r="O83" s="31">
        <f t="shared" si="26"/>
        <v>2022</v>
      </c>
      <c r="P83" s="31">
        <f t="shared" si="26"/>
        <v>2023</v>
      </c>
      <c r="Q83" s="31">
        <f t="shared" si="26"/>
        <v>2024</v>
      </c>
      <c r="R83" s="31">
        <f t="shared" si="26"/>
        <v>2025</v>
      </c>
      <c r="S83" s="31">
        <f t="shared" si="26"/>
        <v>2026</v>
      </c>
      <c r="T83" s="31">
        <f t="shared" si="26"/>
        <v>2027</v>
      </c>
      <c r="U83" s="31">
        <f t="shared" si="26"/>
        <v>2028</v>
      </c>
    </row>
    <row r="84" spans="1:21">
      <c r="A84" s="21">
        <v>1</v>
      </c>
      <c r="B84" s="22" t="s">
        <v>182</v>
      </c>
      <c r="C84" s="50"/>
      <c r="D84" s="40" t="s">
        <v>16</v>
      </c>
      <c r="E84" s="67">
        <f>E62-E73</f>
        <v>0</v>
      </c>
      <c r="F84" s="67">
        <f>E84+F62-F73</f>
        <v>0</v>
      </c>
      <c r="G84" s="67">
        <f t="shared" ref="G84:U89" si="27">F84+G62-G73</f>
        <v>0</v>
      </c>
      <c r="H84" s="67">
        <f t="shared" si="27"/>
        <v>0</v>
      </c>
      <c r="I84" s="67">
        <f t="shared" si="27"/>
        <v>0</v>
      </c>
      <c r="J84" s="67">
        <f t="shared" si="27"/>
        <v>0</v>
      </c>
      <c r="K84" s="67">
        <f t="shared" si="27"/>
        <v>0</v>
      </c>
      <c r="L84" s="67">
        <f t="shared" si="27"/>
        <v>0</v>
      </c>
      <c r="M84" s="67">
        <f t="shared" si="27"/>
        <v>0</v>
      </c>
      <c r="N84" s="67">
        <f t="shared" si="27"/>
        <v>0</v>
      </c>
      <c r="O84" s="67">
        <f t="shared" si="27"/>
        <v>0</v>
      </c>
      <c r="P84" s="67">
        <f t="shared" si="27"/>
        <v>0</v>
      </c>
      <c r="Q84" s="67">
        <f t="shared" si="27"/>
        <v>0</v>
      </c>
      <c r="R84" s="67">
        <f t="shared" si="27"/>
        <v>0</v>
      </c>
      <c r="S84" s="67">
        <f t="shared" si="27"/>
        <v>0</v>
      </c>
      <c r="T84" s="67">
        <f t="shared" si="27"/>
        <v>0</v>
      </c>
      <c r="U84" s="67">
        <f t="shared" si="27"/>
        <v>0</v>
      </c>
    </row>
    <row r="85" spans="1:21">
      <c r="A85" s="21">
        <v>2</v>
      </c>
      <c r="B85" s="22" t="s">
        <v>183</v>
      </c>
      <c r="C85" s="22"/>
      <c r="D85" s="51" t="s">
        <v>16</v>
      </c>
      <c r="E85" s="67">
        <f t="shared" ref="E85:E89" si="28">E63-E74</f>
        <v>0</v>
      </c>
      <c r="F85" s="67">
        <f t="shared" ref="F85:U89" si="29">E85+F63-F74</f>
        <v>0</v>
      </c>
      <c r="G85" s="67">
        <f t="shared" si="29"/>
        <v>0</v>
      </c>
      <c r="H85" s="67">
        <f t="shared" si="29"/>
        <v>0</v>
      </c>
      <c r="I85" s="67">
        <f t="shared" si="29"/>
        <v>0</v>
      </c>
      <c r="J85" s="67">
        <f t="shared" si="29"/>
        <v>0</v>
      </c>
      <c r="K85" s="67">
        <f t="shared" si="29"/>
        <v>0</v>
      </c>
      <c r="L85" s="67">
        <f t="shared" si="29"/>
        <v>0</v>
      </c>
      <c r="M85" s="67">
        <f t="shared" si="29"/>
        <v>0</v>
      </c>
      <c r="N85" s="67">
        <f t="shared" si="29"/>
        <v>0</v>
      </c>
      <c r="O85" s="67">
        <f t="shared" si="29"/>
        <v>0</v>
      </c>
      <c r="P85" s="67">
        <f t="shared" si="29"/>
        <v>0</v>
      </c>
      <c r="Q85" s="67">
        <f t="shared" si="29"/>
        <v>0</v>
      </c>
      <c r="R85" s="67">
        <f t="shared" si="29"/>
        <v>0</v>
      </c>
      <c r="S85" s="67">
        <f t="shared" si="29"/>
        <v>0</v>
      </c>
      <c r="T85" s="67">
        <f t="shared" si="29"/>
        <v>0</v>
      </c>
      <c r="U85" s="67">
        <f t="shared" si="29"/>
        <v>0</v>
      </c>
    </row>
    <row r="86" spans="1:21">
      <c r="A86" s="21">
        <v>3</v>
      </c>
      <c r="B86" s="22" t="s">
        <v>184</v>
      </c>
      <c r="C86" s="22"/>
      <c r="D86" s="40" t="s">
        <v>16</v>
      </c>
      <c r="E86" s="67">
        <f t="shared" si="28"/>
        <v>0</v>
      </c>
      <c r="F86" s="67">
        <f t="shared" si="29"/>
        <v>0</v>
      </c>
      <c r="G86" s="67">
        <f t="shared" si="27"/>
        <v>0</v>
      </c>
      <c r="H86" s="67">
        <f t="shared" si="27"/>
        <v>0</v>
      </c>
      <c r="I86" s="67">
        <f t="shared" si="27"/>
        <v>261670</v>
      </c>
      <c r="J86" s="67">
        <f t="shared" si="27"/>
        <v>5716427.9699999997</v>
      </c>
      <c r="K86" s="67">
        <f t="shared" si="27"/>
        <v>5459188.7113499995</v>
      </c>
      <c r="L86" s="67">
        <f t="shared" si="27"/>
        <v>5201949.4526999993</v>
      </c>
      <c r="M86" s="67">
        <f t="shared" si="27"/>
        <v>4944710.1940499991</v>
      </c>
      <c r="N86" s="67">
        <f t="shared" si="27"/>
        <v>4687470.9353999989</v>
      </c>
      <c r="O86" s="67">
        <f t="shared" si="27"/>
        <v>4430231.6767499987</v>
      </c>
      <c r="P86" s="67">
        <f t="shared" si="27"/>
        <v>4172992.4180999985</v>
      </c>
      <c r="Q86" s="67">
        <f t="shared" si="27"/>
        <v>3915753.1594499983</v>
      </c>
      <c r="R86" s="67">
        <f t="shared" si="27"/>
        <v>3658513.9007999981</v>
      </c>
      <c r="S86" s="67">
        <f t="shared" si="27"/>
        <v>3401274.6421499979</v>
      </c>
      <c r="T86" s="67">
        <f t="shared" si="27"/>
        <v>3144035.3834999977</v>
      </c>
      <c r="U86" s="67">
        <f t="shared" si="27"/>
        <v>2886796.1248499975</v>
      </c>
    </row>
    <row r="87" spans="1:21">
      <c r="A87" s="21">
        <v>4</v>
      </c>
      <c r="B87" s="22" t="s">
        <v>185</v>
      </c>
      <c r="C87" s="22"/>
      <c r="D87" s="51" t="s">
        <v>16</v>
      </c>
      <c r="E87" s="67">
        <f t="shared" si="28"/>
        <v>0</v>
      </c>
      <c r="F87" s="67">
        <f t="shared" si="29"/>
        <v>0</v>
      </c>
      <c r="G87" s="67">
        <f t="shared" si="27"/>
        <v>0</v>
      </c>
      <c r="H87" s="67">
        <f t="shared" si="27"/>
        <v>0</v>
      </c>
      <c r="I87" s="67">
        <f t="shared" si="27"/>
        <v>0</v>
      </c>
      <c r="J87" s="67">
        <f t="shared" si="27"/>
        <v>3085493.8899999997</v>
      </c>
      <c r="K87" s="67">
        <f t="shared" si="27"/>
        <v>2530104.9897999996</v>
      </c>
      <c r="L87" s="67">
        <f t="shared" si="27"/>
        <v>1974716.0895999996</v>
      </c>
      <c r="M87" s="67">
        <f t="shared" si="27"/>
        <v>1419327.1893999996</v>
      </c>
      <c r="N87" s="67">
        <f t="shared" si="27"/>
        <v>863938.28919999965</v>
      </c>
      <c r="O87" s="67">
        <f t="shared" si="27"/>
        <v>308549.38899999973</v>
      </c>
      <c r="P87" s="67">
        <f t="shared" si="27"/>
        <v>0</v>
      </c>
      <c r="Q87" s="67">
        <f t="shared" si="27"/>
        <v>0</v>
      </c>
      <c r="R87" s="67">
        <f t="shared" si="27"/>
        <v>0</v>
      </c>
      <c r="S87" s="67">
        <f t="shared" si="27"/>
        <v>0</v>
      </c>
      <c r="T87" s="67">
        <f t="shared" si="27"/>
        <v>0</v>
      </c>
      <c r="U87" s="67">
        <f t="shared" si="27"/>
        <v>0</v>
      </c>
    </row>
    <row r="88" spans="1:21" ht="13.95" customHeight="1">
      <c r="A88" s="21">
        <v>5</v>
      </c>
      <c r="B88" s="22" t="s">
        <v>186</v>
      </c>
      <c r="C88" s="22"/>
      <c r="D88" s="40" t="s">
        <v>16</v>
      </c>
      <c r="E88" s="67">
        <f t="shared" si="28"/>
        <v>0</v>
      </c>
      <c r="F88" s="67">
        <f t="shared" si="29"/>
        <v>0</v>
      </c>
      <c r="G88" s="67">
        <f t="shared" si="27"/>
        <v>0</v>
      </c>
      <c r="H88" s="67">
        <f t="shared" si="27"/>
        <v>0</v>
      </c>
      <c r="I88" s="67">
        <f t="shared" si="27"/>
        <v>0</v>
      </c>
      <c r="J88" s="67">
        <f t="shared" si="27"/>
        <v>46120000</v>
      </c>
      <c r="K88" s="67">
        <f t="shared" si="27"/>
        <v>41508000</v>
      </c>
      <c r="L88" s="67">
        <f t="shared" si="27"/>
        <v>36896000</v>
      </c>
      <c r="M88" s="67">
        <f t="shared" si="27"/>
        <v>32284000</v>
      </c>
      <c r="N88" s="67">
        <f t="shared" si="27"/>
        <v>27672000</v>
      </c>
      <c r="O88" s="67">
        <f t="shared" si="27"/>
        <v>23060000</v>
      </c>
      <c r="P88" s="67">
        <f t="shared" si="27"/>
        <v>18448000</v>
      </c>
      <c r="Q88" s="67">
        <f t="shared" si="27"/>
        <v>13836000</v>
      </c>
      <c r="R88" s="67">
        <f t="shared" si="27"/>
        <v>9224000</v>
      </c>
      <c r="S88" s="67">
        <f t="shared" si="27"/>
        <v>4612000</v>
      </c>
      <c r="T88" s="67">
        <f t="shared" si="27"/>
        <v>0</v>
      </c>
      <c r="U88" s="67">
        <f t="shared" si="27"/>
        <v>0</v>
      </c>
    </row>
    <row r="89" spans="1:21" ht="13.95" customHeight="1" thickBot="1">
      <c r="A89" s="24">
        <v>6</v>
      </c>
      <c r="B89" s="25" t="s">
        <v>187</v>
      </c>
      <c r="C89" s="25"/>
      <c r="D89" s="51" t="s">
        <v>16</v>
      </c>
      <c r="E89" s="67">
        <f t="shared" si="28"/>
        <v>0</v>
      </c>
      <c r="F89" s="67">
        <f t="shared" si="29"/>
        <v>0</v>
      </c>
      <c r="G89" s="67">
        <f t="shared" si="27"/>
        <v>0</v>
      </c>
      <c r="H89" s="67">
        <f t="shared" si="27"/>
        <v>0</v>
      </c>
      <c r="I89" s="67">
        <f t="shared" si="27"/>
        <v>0</v>
      </c>
      <c r="J89" s="67">
        <f t="shared" si="27"/>
        <v>0</v>
      </c>
      <c r="K89" s="67">
        <f t="shared" si="27"/>
        <v>0</v>
      </c>
      <c r="L89" s="67">
        <f t="shared" si="27"/>
        <v>0</v>
      </c>
      <c r="M89" s="67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</row>
    <row r="90" spans="1:21" ht="13.95" customHeight="1" thickBot="1">
      <c r="A90" s="27"/>
      <c r="B90" s="28" t="s">
        <v>11</v>
      </c>
      <c r="C90" s="28"/>
      <c r="D90" s="41" t="s">
        <v>16</v>
      </c>
      <c r="E90" s="71">
        <f>SUM(E85:E89)</f>
        <v>0</v>
      </c>
      <c r="F90" s="71">
        <f t="shared" ref="F90:U90" si="30">SUM(F85:F89)</f>
        <v>0</v>
      </c>
      <c r="G90" s="71">
        <f t="shared" si="30"/>
        <v>0</v>
      </c>
      <c r="H90" s="71">
        <f t="shared" si="30"/>
        <v>0</v>
      </c>
      <c r="I90" s="71">
        <f t="shared" si="30"/>
        <v>261670</v>
      </c>
      <c r="J90" s="71">
        <f t="shared" si="30"/>
        <v>54921921.859999999</v>
      </c>
      <c r="K90" s="71">
        <f t="shared" si="30"/>
        <v>49497293.70115</v>
      </c>
      <c r="L90" s="71">
        <f t="shared" si="30"/>
        <v>44072665.542300001</v>
      </c>
      <c r="M90" s="71">
        <f t="shared" si="30"/>
        <v>38648037.383450001</v>
      </c>
      <c r="N90" s="71">
        <f t="shared" si="30"/>
        <v>33223409.224599998</v>
      </c>
      <c r="O90" s="71">
        <f t="shared" si="30"/>
        <v>27798781.065749999</v>
      </c>
      <c r="P90" s="71">
        <f t="shared" si="30"/>
        <v>22620992.418099999</v>
      </c>
      <c r="Q90" s="71">
        <f t="shared" si="30"/>
        <v>17751753.159449998</v>
      </c>
      <c r="R90" s="71">
        <f t="shared" si="30"/>
        <v>12882513.900799997</v>
      </c>
      <c r="S90" s="71">
        <f t="shared" si="30"/>
        <v>8013274.6421499979</v>
      </c>
      <c r="T90" s="71">
        <f t="shared" si="30"/>
        <v>3144035.3834999977</v>
      </c>
      <c r="U90" s="71">
        <f t="shared" si="30"/>
        <v>2886796.1248499975</v>
      </c>
    </row>
    <row r="91" spans="1:21" ht="13.95" customHeight="1">
      <c r="A91" s="18"/>
      <c r="B91" s="20"/>
      <c r="C91" s="20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95" customHeight="1">
      <c r="A92" s="18"/>
      <c r="B92" s="20"/>
      <c r="C92" s="20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>
      <c r="B93" s="17" t="s">
        <v>295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>
      <c r="A94" s="98" t="s">
        <v>0</v>
      </c>
      <c r="B94" s="285" t="s">
        <v>4</v>
      </c>
      <c r="C94" s="285"/>
      <c r="D94" s="98" t="s">
        <v>13</v>
      </c>
      <c r="E94" s="1">
        <f t="shared" ref="E94:U94" si="31">E1</f>
        <v>2012</v>
      </c>
      <c r="F94" s="1">
        <f t="shared" si="31"/>
        <v>2013</v>
      </c>
      <c r="G94" s="1">
        <f t="shared" si="31"/>
        <v>2014</v>
      </c>
      <c r="H94" s="1">
        <f t="shared" si="31"/>
        <v>2015</v>
      </c>
      <c r="I94" s="1">
        <f t="shared" si="31"/>
        <v>2016</v>
      </c>
      <c r="J94" s="1">
        <f t="shared" si="31"/>
        <v>2017</v>
      </c>
      <c r="K94" s="1">
        <f t="shared" si="31"/>
        <v>2018</v>
      </c>
      <c r="L94" s="1">
        <f t="shared" si="31"/>
        <v>2019</v>
      </c>
      <c r="M94" s="1">
        <f t="shared" si="31"/>
        <v>2020</v>
      </c>
      <c r="N94" s="1">
        <f t="shared" si="31"/>
        <v>2021</v>
      </c>
      <c r="O94" s="1">
        <f t="shared" si="31"/>
        <v>2022</v>
      </c>
      <c r="P94" s="1">
        <f t="shared" si="31"/>
        <v>2023</v>
      </c>
      <c r="Q94" s="1">
        <f t="shared" si="31"/>
        <v>2024</v>
      </c>
      <c r="R94" s="1">
        <f t="shared" si="31"/>
        <v>2025</v>
      </c>
      <c r="S94" s="1">
        <f t="shared" si="31"/>
        <v>2026</v>
      </c>
      <c r="T94" s="1">
        <f t="shared" si="31"/>
        <v>2027</v>
      </c>
      <c r="U94" s="1">
        <f t="shared" si="31"/>
        <v>2028</v>
      </c>
    </row>
    <row r="95" spans="1:21">
      <c r="A95" s="97" t="s">
        <v>5</v>
      </c>
      <c r="B95" s="301" t="s">
        <v>240</v>
      </c>
      <c r="C95" s="301"/>
      <c r="D95" s="98" t="s">
        <v>16</v>
      </c>
      <c r="E95" s="86">
        <f>SUMIF(($C100:$C107),"=2011",$E100:$E107)</f>
        <v>0</v>
      </c>
      <c r="F95" s="86">
        <f>SUMIF(($C100:$C107),"=2012",$E100:$E107)</f>
        <v>0</v>
      </c>
      <c r="G95" s="86">
        <f>SUMIF(($C100:$C107),"=2013",$E100:$E107)</f>
        <v>0</v>
      </c>
      <c r="H95" s="86">
        <f>SUMIF(($C100:$C107),"=2014",$E100:$E107)</f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0</v>
      </c>
    </row>
    <row r="96" spans="1:21">
      <c r="A96" s="97" t="s">
        <v>7</v>
      </c>
      <c r="B96" s="301" t="s">
        <v>239</v>
      </c>
      <c r="C96" s="301"/>
      <c r="D96" s="98" t="s">
        <v>16</v>
      </c>
      <c r="E96" s="86">
        <f>SUMIF(($C101:$C107),"=2011",$E101:$E107)</f>
        <v>0</v>
      </c>
      <c r="F96" s="86">
        <f>SUMIF(($C101:$C107),"=2012",$E101:$E107)</f>
        <v>0</v>
      </c>
      <c r="G96" s="86">
        <f>SUMIF(($C101:$C107),"=2013",$E101:$E107)</f>
        <v>0</v>
      </c>
      <c r="H96" s="86">
        <f>SUMIF(($C101:$C107),"=2014",$E101:$E107)</f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0</v>
      </c>
    </row>
    <row r="97" spans="1:21">
      <c r="A97" s="18"/>
      <c r="B97" s="20"/>
      <c r="C97" s="20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18"/>
      <c r="B98" s="20"/>
      <c r="C98" s="20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>
      <c r="B99" s="17" t="s">
        <v>296</v>
      </c>
    </row>
    <row r="100" spans="1:21">
      <c r="A100" s="13" t="s">
        <v>0</v>
      </c>
      <c r="B100" s="303" t="s">
        <v>4</v>
      </c>
      <c r="C100" s="303"/>
      <c r="D100" s="13" t="s">
        <v>13</v>
      </c>
      <c r="E100" s="153">
        <f t="shared" ref="E100:U100" si="32">E$1</f>
        <v>2012</v>
      </c>
      <c r="F100" s="153">
        <f t="shared" si="32"/>
        <v>2013</v>
      </c>
      <c r="G100" s="153">
        <f t="shared" si="32"/>
        <v>2014</v>
      </c>
      <c r="H100" s="153">
        <f t="shared" si="32"/>
        <v>2015</v>
      </c>
      <c r="I100" s="153">
        <f t="shared" si="32"/>
        <v>2016</v>
      </c>
      <c r="J100" s="153">
        <f t="shared" si="32"/>
        <v>2017</v>
      </c>
      <c r="K100" s="153">
        <f t="shared" si="32"/>
        <v>2018</v>
      </c>
      <c r="L100" s="153">
        <f t="shared" si="32"/>
        <v>2019</v>
      </c>
      <c r="M100" s="153">
        <f t="shared" si="32"/>
        <v>2020</v>
      </c>
      <c r="N100" s="153">
        <f t="shared" si="32"/>
        <v>2021</v>
      </c>
      <c r="O100" s="153">
        <f t="shared" si="32"/>
        <v>2022</v>
      </c>
      <c r="P100" s="153">
        <f t="shared" si="32"/>
        <v>2023</v>
      </c>
      <c r="Q100" s="153">
        <f t="shared" si="32"/>
        <v>2024</v>
      </c>
      <c r="R100" s="153">
        <f t="shared" si="32"/>
        <v>2025</v>
      </c>
      <c r="S100" s="153">
        <f t="shared" si="32"/>
        <v>2026</v>
      </c>
      <c r="T100" s="153">
        <f t="shared" si="32"/>
        <v>2027</v>
      </c>
      <c r="U100" s="88">
        <f t="shared" si="32"/>
        <v>2028</v>
      </c>
    </row>
    <row r="101" spans="1:21" s="94" customFormat="1">
      <c r="A101" s="155" t="s">
        <v>5</v>
      </c>
      <c r="B101" s="305" t="s">
        <v>225</v>
      </c>
      <c r="C101" s="305"/>
      <c r="D101" s="156" t="s">
        <v>16</v>
      </c>
      <c r="E101" s="86"/>
      <c r="F101" s="86"/>
      <c r="G101" s="86"/>
      <c r="H101" s="86"/>
      <c r="I101" s="86"/>
      <c r="J101" s="86">
        <f>SUMIF((Obliczenia_kredyty!$C5:$C132),"=2017",Obliczenia_kredyty!$H5:$H132)</f>
        <v>0</v>
      </c>
      <c r="K101" s="86">
        <f>SUMIF((Obliczenia_kredyty!$C5:$C132),"=2018",Obliczenia_kredyty!$H5:$H132)</f>
        <v>732323</v>
      </c>
      <c r="L101" s="86">
        <f>SUMIF((Obliczenia_kredyty!$C5:$C132),"=2019",Obliczenia_kredyty!$H5:$H132)</f>
        <v>548434</v>
      </c>
      <c r="M101" s="86">
        <f>SUMIF((Obliczenia_kredyty!$C5:$C132),"=2020",Obliczenia_kredyty!$H5:$H132)</f>
        <v>588797</v>
      </c>
      <c r="N101" s="86">
        <f>SUMIF((Obliczenia_kredyty!$C5:$C132),"=2021",Obliczenia_kredyty!$H5:$H132)</f>
        <v>577481</v>
      </c>
      <c r="O101" s="86">
        <f>SUMIF((Obliczenia_kredyty!$C5:$C132),"=2022",Obliczenia_kredyty!$H5:$H132)</f>
        <v>595907</v>
      </c>
      <c r="P101" s="86">
        <f>SUMIF((Obliczenia_kredyty!$C5:$C132),"=2023",Obliczenia_kredyty!$H5:$H132)</f>
        <v>488333</v>
      </c>
      <c r="Q101" s="86">
        <f>SUMIF((Obliczenia_kredyty!$C5:$C132),"=2024",Obliczenia_kredyty!$H5:$H132)</f>
        <v>381913</v>
      </c>
      <c r="R101" s="86">
        <f>SUMIF((Obliczenia_kredyty!$C5:$C132),"=2025",Obliczenia_kredyty!$H5:$H132)</f>
        <v>273185</v>
      </c>
      <c r="S101" s="86">
        <f>SUMIF((Obliczenia_kredyty!$C5:$C132),"=2026",Obliczenia_kredyty!$H5:$H132)</f>
        <v>165610</v>
      </c>
      <c r="T101" s="86">
        <f>SUMIF((Obliczenia_kredyty!$C5:$C132),"=2027",Obliczenia_kredyty!$H5:$H132)</f>
        <v>58036</v>
      </c>
      <c r="U101" s="73"/>
    </row>
    <row r="102" spans="1:21" s="94" customFormat="1">
      <c r="A102" s="155" t="s">
        <v>7</v>
      </c>
      <c r="B102" s="305" t="s">
        <v>148</v>
      </c>
      <c r="C102" s="305"/>
      <c r="D102" s="156" t="s">
        <v>16</v>
      </c>
      <c r="E102" s="86"/>
      <c r="F102" s="86"/>
      <c r="G102" s="86"/>
      <c r="H102" s="86"/>
      <c r="I102" s="86"/>
      <c r="J102" s="86">
        <f>SUMIF((Obliczenia_kredyty!$C5:$C132),"=2017",Obliczenia_kredyty!$G5:$G132)</f>
        <v>0</v>
      </c>
      <c r="K102" s="94">
        <f>SUMIF((Obliczenia_kredyty!$C5:$C132),"=2018",Obliczenia_kredyty!$G5:$G132)</f>
        <v>1605584.5199999998</v>
      </c>
      <c r="L102" s="86">
        <f>SUMIF((Obliczenia_kredyty!$C5:$C132),"=2019",Obliczenia_kredyty!$G5:$G132)</f>
        <v>1605584.5199999998</v>
      </c>
      <c r="M102" s="86">
        <f>SUMIF((Obliczenia_kredyty!$C5:$C132),"=2020",Obliczenia_kredyty!$G5:$G132)</f>
        <v>1605584.5199999998</v>
      </c>
      <c r="N102" s="86">
        <f>SUMIF((Obliczenia_kredyty!$C5:$C132),"=2021",Obliczenia_kredyty!$G5:$G132)</f>
        <v>1605584.5199999998</v>
      </c>
      <c r="O102" s="86">
        <f>SUMIF((Obliczenia_kredyty!$C5:$C132),"=2022",Obliczenia_kredyty!$G5:$G132)</f>
        <v>1605584.5199999998</v>
      </c>
      <c r="P102" s="86">
        <f>SUMIF((Obliczenia_kredyty!$C5:$C132),"=2023",Obliczenia_kredyty!$G5:$G132)</f>
        <v>1605584.5199999998</v>
      </c>
      <c r="Q102" s="86">
        <f>SUMIF((Obliczenia_kredyty!$C5:$C132),"=2024",Obliczenia_kredyty!$G5:$G132)</f>
        <v>1605584.5199999998</v>
      </c>
      <c r="R102" s="86">
        <f>SUMIF((Obliczenia_kredyty!$C5:$C132),"=2025",Obliczenia_kredyty!$G5:$G132)</f>
        <v>1605584.5199999998</v>
      </c>
      <c r="S102" s="86">
        <f>SUMIF((Obliczenia_kredyty!$C5:$C132),"=2026",Obliczenia_kredyty!$G5:$G132)</f>
        <v>1605584.5199999998</v>
      </c>
      <c r="T102" s="86">
        <f>SUMIF((Obliczenia_kredyty!$C5:$C132),"=2027",Obliczenia_kredyty!$G5:$G132)</f>
        <v>1605584.3599999503</v>
      </c>
      <c r="U102" s="87"/>
    </row>
    <row r="103" spans="1:21">
      <c r="A103" s="146" t="s">
        <v>8</v>
      </c>
      <c r="B103" s="302" t="s">
        <v>11</v>
      </c>
      <c r="C103" s="302"/>
      <c r="D103" s="13" t="s">
        <v>16</v>
      </c>
      <c r="E103" s="92">
        <f t="shared" ref="E103:T103" si="33">SUM(E101:E102)</f>
        <v>0</v>
      </c>
      <c r="F103" s="92">
        <f t="shared" si="33"/>
        <v>0</v>
      </c>
      <c r="G103" s="92">
        <f t="shared" si="33"/>
        <v>0</v>
      </c>
      <c r="H103" s="92">
        <f t="shared" si="33"/>
        <v>0</v>
      </c>
      <c r="I103" s="92">
        <f t="shared" si="33"/>
        <v>0</v>
      </c>
      <c r="J103" s="92">
        <f t="shared" si="33"/>
        <v>0</v>
      </c>
      <c r="K103" s="92">
        <f t="shared" si="33"/>
        <v>2337907.5199999996</v>
      </c>
      <c r="L103" s="92">
        <f t="shared" si="33"/>
        <v>2154018.5199999996</v>
      </c>
      <c r="M103" s="92">
        <f t="shared" si="33"/>
        <v>2194381.5199999996</v>
      </c>
      <c r="N103" s="92">
        <f t="shared" si="33"/>
        <v>2183065.5199999996</v>
      </c>
      <c r="O103" s="92">
        <f t="shared" si="33"/>
        <v>2201491.5199999996</v>
      </c>
      <c r="P103" s="92">
        <f t="shared" si="33"/>
        <v>2093917.5199999998</v>
      </c>
      <c r="Q103" s="92">
        <f t="shared" si="33"/>
        <v>1987497.5199999998</v>
      </c>
      <c r="R103" s="92">
        <f t="shared" si="33"/>
        <v>1878769.5199999998</v>
      </c>
      <c r="S103" s="92">
        <f t="shared" si="33"/>
        <v>1771194.5199999998</v>
      </c>
      <c r="T103" s="92">
        <f t="shared" si="33"/>
        <v>1663620.3599999503</v>
      </c>
      <c r="U103" s="85"/>
    </row>
    <row r="106" spans="1:21">
      <c r="B106" s="17" t="s">
        <v>297</v>
      </c>
    </row>
    <row r="107" spans="1:21">
      <c r="A107" s="149" t="s">
        <v>0</v>
      </c>
      <c r="B107" s="285" t="s">
        <v>4</v>
      </c>
      <c r="C107" s="285"/>
      <c r="D107" s="1" t="s">
        <v>13</v>
      </c>
      <c r="E107" s="88">
        <f t="shared" ref="E107:H107" si="34">E100</f>
        <v>2012</v>
      </c>
      <c r="F107" s="88">
        <f t="shared" si="34"/>
        <v>2013</v>
      </c>
      <c r="G107" s="88">
        <f t="shared" si="34"/>
        <v>2014</v>
      </c>
      <c r="H107" s="88">
        <f t="shared" si="34"/>
        <v>2015</v>
      </c>
      <c r="I107" s="88">
        <f>I100</f>
        <v>2016</v>
      </c>
      <c r="J107" s="88">
        <f t="shared" ref="J107:U107" si="35">J$1</f>
        <v>2017</v>
      </c>
      <c r="K107" s="88">
        <f t="shared" si="35"/>
        <v>2018</v>
      </c>
      <c r="L107" s="88">
        <f t="shared" si="35"/>
        <v>2019</v>
      </c>
      <c r="M107" s="88">
        <f t="shared" si="35"/>
        <v>2020</v>
      </c>
      <c r="N107" s="88">
        <f t="shared" si="35"/>
        <v>2021</v>
      </c>
      <c r="O107" s="88">
        <f t="shared" si="35"/>
        <v>2022</v>
      </c>
      <c r="P107" s="88">
        <f t="shared" si="35"/>
        <v>2023</v>
      </c>
      <c r="Q107" s="88">
        <f t="shared" si="35"/>
        <v>2024</v>
      </c>
      <c r="R107" s="88">
        <f t="shared" si="35"/>
        <v>2025</v>
      </c>
      <c r="S107" s="88">
        <f t="shared" si="35"/>
        <v>2026</v>
      </c>
      <c r="T107" s="88">
        <f t="shared" si="35"/>
        <v>2027</v>
      </c>
      <c r="U107" s="88">
        <f t="shared" si="35"/>
        <v>2028</v>
      </c>
    </row>
    <row r="108" spans="1:21">
      <c r="A108" s="145" t="s">
        <v>5</v>
      </c>
      <c r="B108" s="301" t="s">
        <v>225</v>
      </c>
      <c r="C108" s="301"/>
      <c r="D108" s="1" t="s">
        <v>16</v>
      </c>
      <c r="E108" s="87"/>
      <c r="F108" s="87"/>
      <c r="G108" s="87"/>
      <c r="H108" s="87"/>
      <c r="I108" s="87"/>
      <c r="J108" s="87">
        <f>SUMIF((Obliczenia_kredyty!$C5:$C132),"=2017",Obliczenia_kredyty!$S5:$S132)</f>
        <v>67410</v>
      </c>
      <c r="K108" s="87">
        <f>SUMIF((Obliczenia_kredyty!$C5:$C132),"=2018",Obliczenia_kredyty!$S5:$S132)</f>
        <v>13679</v>
      </c>
      <c r="L108" s="87">
        <f>SUMIF((Obliczenia_kredyty!$C5:$C132),"=2019",Obliczenia_kredyty!$S5:$S132)</f>
        <v>0</v>
      </c>
      <c r="M108" s="87">
        <f>SUMIF((Obliczenia_kredyty!$C5:$C132),"=2020",Obliczenia_kredyty!$S5:$S132)</f>
        <v>0</v>
      </c>
      <c r="N108" s="87">
        <f>SUMIF((Obliczenia_kredyty!$C5:$C132),"=2021",Obliczenia_kredyty!$S5:$S132)</f>
        <v>0</v>
      </c>
      <c r="O108" s="87">
        <f>SUMIF((Obliczenia_kredyty!$C5:$C132),"=2022",Obliczenia_kredyty!$S5:$S132)</f>
        <v>0</v>
      </c>
      <c r="P108" s="87">
        <f>SUMIF((Obliczenia_kredyty!$C5:$C132),"=2023",Obliczenia_kredyty!$S5:$S132)</f>
        <v>0</v>
      </c>
      <c r="Q108" s="87">
        <f>SUMIF((Obliczenia_kredyty!$C5:$C132),"=2024",Obliczenia_kredyty!$S5:$S132)</f>
        <v>0</v>
      </c>
      <c r="R108" s="87">
        <f>SUMIF((Obliczenia_kredyty!$C5:$C132),"=2025",Obliczenia_kredyty!$S5:$S132)</f>
        <v>0</v>
      </c>
      <c r="S108" s="87">
        <f>SUMIF((Obliczenia_kredyty!$C5:$C132),"=2026",Obliczenia_kredyty!$S5:$S132)</f>
        <v>0</v>
      </c>
      <c r="T108" s="87">
        <f>SUMIF((Obliczenia_kredyty!$C5:$C132),"=2027",Obliczenia_kredyty!$S5:$S132)</f>
        <v>0</v>
      </c>
      <c r="U108" s="87">
        <f>SUMIF((Obliczenia_kredyty!$C12:$C139),"=2028",Obliczenia_kredyty!$F12:$F139)</f>
        <v>0</v>
      </c>
    </row>
    <row r="109" spans="1:21">
      <c r="A109" s="145" t="s">
        <v>7</v>
      </c>
      <c r="B109" s="301" t="s">
        <v>148</v>
      </c>
      <c r="C109" s="301"/>
      <c r="D109" s="1" t="s">
        <v>16</v>
      </c>
      <c r="E109" s="87"/>
      <c r="F109" s="87"/>
      <c r="G109" s="87"/>
      <c r="H109" s="87"/>
      <c r="I109" s="87"/>
      <c r="J109" s="87">
        <f>SUMIF((Obliczenia_kredyty!$C5:$C132),"=2017",Obliczenia_kredyty!$R5:$R132)</f>
        <v>8705632</v>
      </c>
      <c r="K109" s="87">
        <f>SUMIF((Obliczenia_kredyty!$C5:$C132),"=2018",Obliczenia_kredyty!$R5:$R132)</f>
        <v>3851925</v>
      </c>
      <c r="L109" s="87">
        <f>SUMIF((Obliczenia_kredyty!$C5:$C132),"=2019",Obliczenia_kredyty!$R5:$R132)</f>
        <v>0</v>
      </c>
      <c r="M109" s="87">
        <f>SUMIF((Obliczenia_kredyty!$C5:$C132),"=2020",Obliczenia_kredyty!$R5:$R132)</f>
        <v>0</v>
      </c>
      <c r="N109" s="87">
        <f>SUMIF((Obliczenia_kredyty!$C5:$C132),"=2021",Obliczenia_kredyty!$R5:$R132)</f>
        <v>0</v>
      </c>
      <c r="O109" s="87">
        <f>SUMIF((Obliczenia_kredyty!$C5:$C132),"=2022",Obliczenia_kredyty!$R5:$R132)</f>
        <v>0</v>
      </c>
      <c r="P109" s="87">
        <f>SUMIF((Obliczenia_kredyty!$C5:$C132),"=2023",Obliczenia_kredyty!$R5:$R132)</f>
        <v>0</v>
      </c>
      <c r="Q109" s="87">
        <f>SUMIF((Obliczenia_kredyty!$C5:$C132),"=2024",Obliczenia_kredyty!$R5:$R132)</f>
        <v>0</v>
      </c>
      <c r="R109" s="87">
        <f>SUMIF((Obliczenia_kredyty!$C5:$C132),"=2025",Obliczenia_kredyty!$R5:$R132)</f>
        <v>0</v>
      </c>
      <c r="S109" s="87">
        <f>SUMIF((Obliczenia_kredyty!$C5:$C132),"=2026",Obliczenia_kredyty!$R5:$R132)</f>
        <v>0</v>
      </c>
      <c r="T109" s="87">
        <f>SUMIF((Obliczenia_kredyty!$C5:$C132),"=2027",Obliczenia_kredyty!$R5:$R132)</f>
        <v>0</v>
      </c>
      <c r="U109" s="87">
        <f>SUMIF((Obliczenia_kredyty!$C5:$C132),"=2028",Obliczenia_kredyty!$R5:$R132)</f>
        <v>0</v>
      </c>
    </row>
    <row r="110" spans="1:21">
      <c r="A110" s="146" t="s">
        <v>8</v>
      </c>
      <c r="B110" s="302" t="s">
        <v>11</v>
      </c>
      <c r="C110" s="302"/>
      <c r="D110" s="153" t="s">
        <v>16</v>
      </c>
      <c r="E110" s="154">
        <f>SUM(E108:E109)</f>
        <v>0</v>
      </c>
      <c r="F110" s="154">
        <f t="shared" ref="F110:U110" si="36">SUM(F108:F109)</f>
        <v>0</v>
      </c>
      <c r="G110" s="154">
        <f t="shared" si="36"/>
        <v>0</v>
      </c>
      <c r="H110" s="154">
        <f t="shared" si="36"/>
        <v>0</v>
      </c>
      <c r="I110" s="154">
        <f t="shared" si="36"/>
        <v>0</v>
      </c>
      <c r="J110" s="154">
        <f t="shared" si="36"/>
        <v>8773042</v>
      </c>
      <c r="K110" s="154">
        <f t="shared" ref="K110:T110" si="37">SUM(K108:K109)</f>
        <v>3865604</v>
      </c>
      <c r="L110" s="154">
        <f t="shared" si="37"/>
        <v>0</v>
      </c>
      <c r="M110" s="154">
        <f t="shared" si="37"/>
        <v>0</v>
      </c>
      <c r="N110" s="154">
        <f t="shared" si="37"/>
        <v>0</v>
      </c>
      <c r="O110" s="154">
        <f t="shared" si="37"/>
        <v>0</v>
      </c>
      <c r="P110" s="154">
        <f t="shared" si="37"/>
        <v>0</v>
      </c>
      <c r="Q110" s="154">
        <f t="shared" si="37"/>
        <v>0</v>
      </c>
      <c r="R110" s="154">
        <f t="shared" si="37"/>
        <v>0</v>
      </c>
      <c r="S110" s="154">
        <f t="shared" si="37"/>
        <v>0</v>
      </c>
      <c r="T110" s="154">
        <f t="shared" si="37"/>
        <v>0</v>
      </c>
      <c r="U110" s="154">
        <f t="shared" si="36"/>
        <v>0</v>
      </c>
    </row>
    <row r="113" spans="1:21">
      <c r="A113" s="150" t="s">
        <v>0</v>
      </c>
      <c r="B113" s="304" t="s">
        <v>72</v>
      </c>
      <c r="C113" s="304"/>
      <c r="D113" s="150" t="s">
        <v>13</v>
      </c>
      <c r="E113" s="103">
        <f>E$1</f>
        <v>2012</v>
      </c>
      <c r="F113" s="103">
        <f t="shared" ref="F113:U113" si="38">F$1</f>
        <v>2013</v>
      </c>
      <c r="G113" s="103">
        <f t="shared" si="38"/>
        <v>2014</v>
      </c>
      <c r="H113" s="103">
        <f t="shared" si="38"/>
        <v>2015</v>
      </c>
      <c r="I113" s="103">
        <f t="shared" si="38"/>
        <v>2016</v>
      </c>
      <c r="J113" s="103">
        <f t="shared" si="38"/>
        <v>2017</v>
      </c>
      <c r="K113" s="103">
        <f t="shared" si="38"/>
        <v>2018</v>
      </c>
      <c r="L113" s="103">
        <f t="shared" si="38"/>
        <v>2019</v>
      </c>
      <c r="M113" s="103">
        <f t="shared" si="38"/>
        <v>2020</v>
      </c>
      <c r="N113" s="103">
        <f t="shared" si="38"/>
        <v>2021</v>
      </c>
      <c r="O113" s="103">
        <f t="shared" si="38"/>
        <v>2022</v>
      </c>
      <c r="P113" s="103">
        <f t="shared" si="38"/>
        <v>2023</v>
      </c>
      <c r="Q113" s="103">
        <f t="shared" si="38"/>
        <v>2024</v>
      </c>
      <c r="R113" s="103">
        <f t="shared" si="38"/>
        <v>2025</v>
      </c>
      <c r="S113" s="103">
        <f t="shared" si="38"/>
        <v>2026</v>
      </c>
      <c r="T113" s="103">
        <f t="shared" si="38"/>
        <v>2027</v>
      </c>
      <c r="U113" s="103">
        <f t="shared" si="38"/>
        <v>2028</v>
      </c>
    </row>
    <row r="114" spans="1:21" ht="10.199999999999999" customHeight="1">
      <c r="A114" s="151" t="s">
        <v>39</v>
      </c>
      <c r="B114" s="299" t="s">
        <v>104</v>
      </c>
      <c r="C114" s="299"/>
      <c r="D114" s="151" t="s">
        <v>16</v>
      </c>
      <c r="E114" s="72"/>
      <c r="F114" s="72"/>
      <c r="G114" s="72">
        <f>Założenia!G114</f>
        <v>10912823.539999999</v>
      </c>
      <c r="H114" s="72">
        <f>Założenia!H114</f>
        <v>9075282.6600000001</v>
      </c>
      <c r="I114" s="72">
        <f>H114+I115</f>
        <v>9075282.6600000001</v>
      </c>
      <c r="J114" s="72">
        <f>$I$114+J115</f>
        <v>49689387.659999996</v>
      </c>
      <c r="K114" s="72">
        <f t="shared" ref="K114:U114" si="39">$I$114+K115</f>
        <v>45677939.950000003</v>
      </c>
      <c r="L114" s="72">
        <f t="shared" si="39"/>
        <v>41666492.239999995</v>
      </c>
      <c r="M114" s="72">
        <f t="shared" si="39"/>
        <v>37655044.530000001</v>
      </c>
      <c r="N114" s="72">
        <f t="shared" si="39"/>
        <v>33643596.819999993</v>
      </c>
      <c r="O114" s="72">
        <f t="shared" si="39"/>
        <v>29632149.109999996</v>
      </c>
      <c r="P114" s="72">
        <f t="shared" si="39"/>
        <v>25803236.269999996</v>
      </c>
      <c r="Q114" s="72">
        <f t="shared" si="39"/>
        <v>22202492.019999996</v>
      </c>
      <c r="R114" s="72">
        <f t="shared" si="39"/>
        <v>18601747.769999996</v>
      </c>
      <c r="S114" s="72">
        <f t="shared" si="39"/>
        <v>15001003.519999996</v>
      </c>
      <c r="T114" s="72">
        <f t="shared" si="39"/>
        <v>11400259.269999996</v>
      </c>
      <c r="U114" s="72">
        <f t="shared" si="39"/>
        <v>11210033.909999996</v>
      </c>
    </row>
    <row r="115" spans="1:21" ht="10.199999999999999" customHeight="1">
      <c r="A115" s="151" t="s">
        <v>10</v>
      </c>
      <c r="B115" s="300" t="s">
        <v>280</v>
      </c>
      <c r="C115" s="299"/>
      <c r="D115" s="151" t="s">
        <v>16</v>
      </c>
      <c r="E115" s="72"/>
      <c r="F115" s="72"/>
      <c r="G115" s="72"/>
      <c r="H115" s="72"/>
      <c r="I115" s="72">
        <v>0</v>
      </c>
      <c r="J115" s="72">
        <f t="shared" ref="J115:U115" si="40">J69-J80+I115</f>
        <v>40614105</v>
      </c>
      <c r="K115" s="72">
        <f t="shared" si="40"/>
        <v>36602657.289999999</v>
      </c>
      <c r="L115" s="72">
        <f t="shared" si="40"/>
        <v>32591209.579999998</v>
      </c>
      <c r="M115" s="72">
        <f t="shared" si="40"/>
        <v>28579761.869999997</v>
      </c>
      <c r="N115" s="72">
        <f t="shared" si="40"/>
        <v>24568314.159999996</v>
      </c>
      <c r="O115" s="72">
        <f t="shared" si="40"/>
        <v>20556866.449999996</v>
      </c>
      <c r="P115" s="72">
        <f t="shared" si="40"/>
        <v>16727953.609999996</v>
      </c>
      <c r="Q115" s="72">
        <f t="shared" si="40"/>
        <v>13127209.359999996</v>
      </c>
      <c r="R115" s="72">
        <f t="shared" si="40"/>
        <v>9526465.1099999957</v>
      </c>
      <c r="S115" s="72">
        <f t="shared" si="40"/>
        <v>5925720.8599999957</v>
      </c>
      <c r="T115" s="72">
        <f t="shared" si="40"/>
        <v>2324976.6099999957</v>
      </c>
      <c r="U115" s="72">
        <f t="shared" si="40"/>
        <v>2134751.2499999958</v>
      </c>
    </row>
  </sheetData>
  <mergeCells count="14">
    <mergeCell ref="B114:C114"/>
    <mergeCell ref="B115:C115"/>
    <mergeCell ref="B94:C94"/>
    <mergeCell ref="B95:C95"/>
    <mergeCell ref="B96:C96"/>
    <mergeCell ref="B103:C103"/>
    <mergeCell ref="B100:C100"/>
    <mergeCell ref="B113:C113"/>
    <mergeCell ref="B101:C101"/>
    <mergeCell ref="B102:C102"/>
    <mergeCell ref="B107:C107"/>
    <mergeCell ref="B108:C108"/>
    <mergeCell ref="B109:C109"/>
    <mergeCell ref="B110:C1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8"/>
  <sheetViews>
    <sheetView showGridLines="0" workbookViewId="0">
      <pane ySplit="1" topLeftCell="A2" activePane="bottomLeft" state="frozen"/>
      <selection activeCell="J57" sqref="J57"/>
      <selection pane="bottomLeft" activeCell="J57" sqref="J57"/>
    </sheetView>
  </sheetViews>
  <sheetFormatPr defaultRowHeight="13.8"/>
  <cols>
    <col min="1" max="20" width="8.796875" style="104"/>
    <col min="21" max="21" width="8.796875" style="104" customWidth="1"/>
    <col min="22" max="16384" width="8.796875" style="104"/>
  </cols>
  <sheetData>
    <row r="1" spans="1:24">
      <c r="I1" s="104">
        <v>2016</v>
      </c>
      <c r="J1" s="104">
        <v>2017</v>
      </c>
      <c r="K1" s="104">
        <v>2018</v>
      </c>
      <c r="L1" s="104">
        <v>2019</v>
      </c>
      <c r="M1" s="104">
        <v>2020</v>
      </c>
      <c r="N1" s="104">
        <v>2021</v>
      </c>
      <c r="O1" s="104">
        <v>2022</v>
      </c>
      <c r="P1" s="104">
        <v>2023</v>
      </c>
      <c r="Q1" s="104">
        <v>2024</v>
      </c>
      <c r="R1" s="104">
        <v>2025</v>
      </c>
      <c r="S1" s="104">
        <v>2026</v>
      </c>
      <c r="T1" s="104">
        <v>2027</v>
      </c>
      <c r="U1" s="104">
        <v>2028</v>
      </c>
      <c r="V1" s="104">
        <v>2029</v>
      </c>
      <c r="W1" s="104">
        <v>2030</v>
      </c>
    </row>
    <row r="2" spans="1:24">
      <c r="B2" s="104" t="s">
        <v>260</v>
      </c>
    </row>
    <row r="3" spans="1:24">
      <c r="A3" s="105"/>
      <c r="B3" s="53"/>
      <c r="C3" s="54"/>
      <c r="D3" s="54"/>
      <c r="E3" s="54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>
      <c r="A4" s="105"/>
      <c r="B4" s="173" t="s">
        <v>257</v>
      </c>
      <c r="C4" s="54"/>
      <c r="D4" s="54"/>
      <c r="E4" s="54"/>
      <c r="F4" s="173" t="s">
        <v>261</v>
      </c>
      <c r="G4" s="54"/>
      <c r="H4" s="54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>
      <c r="A5" s="105"/>
      <c r="B5" s="107" t="s">
        <v>150</v>
      </c>
      <c r="C5" s="105"/>
      <c r="D5" s="108">
        <f>DATE(2017,5,15)</f>
        <v>42870</v>
      </c>
      <c r="F5" s="107" t="s">
        <v>150</v>
      </c>
      <c r="G5" s="105"/>
      <c r="H5" s="108">
        <f>DATE(2017,5,15)</f>
        <v>42870</v>
      </c>
      <c r="I5" s="107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>
      <c r="A6" s="105"/>
      <c r="B6" s="107" t="s">
        <v>304</v>
      </c>
      <c r="C6" s="105"/>
      <c r="D6" s="108">
        <v>43131</v>
      </c>
      <c r="F6" s="107" t="s">
        <v>304</v>
      </c>
      <c r="G6" s="105"/>
      <c r="H6" s="108">
        <v>42947</v>
      </c>
      <c r="I6" s="107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>
      <c r="A7" s="105"/>
      <c r="B7" s="107" t="s">
        <v>153</v>
      </c>
      <c r="C7" s="105"/>
      <c r="D7" s="109">
        <v>133798.71</v>
      </c>
      <c r="E7" s="107"/>
      <c r="F7" s="107" t="s">
        <v>153</v>
      </c>
      <c r="G7" s="105"/>
      <c r="H7" s="109" t="s">
        <v>307</v>
      </c>
      <c r="I7" s="107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>
      <c r="A8" s="105"/>
      <c r="B8" s="107" t="s">
        <v>259</v>
      </c>
      <c r="C8" s="105"/>
      <c r="D8" s="110">
        <f>D15</f>
        <v>16055845.039999999</v>
      </c>
      <c r="E8" s="107"/>
      <c r="F8" s="107" t="s">
        <v>259</v>
      </c>
      <c r="G8" s="105"/>
      <c r="H8" s="110">
        <f>I15</f>
        <v>12557557</v>
      </c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>
      <c r="A9" s="105"/>
      <c r="B9" s="105" t="s">
        <v>308</v>
      </c>
      <c r="C9" s="105"/>
      <c r="D9" s="105" t="s">
        <v>303</v>
      </c>
      <c r="E9" s="107"/>
      <c r="F9" s="105" t="s">
        <v>308</v>
      </c>
      <c r="G9" s="107"/>
      <c r="H9" s="107" t="s">
        <v>305</v>
      </c>
      <c r="I9" s="107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>
      <c r="A10" s="105"/>
      <c r="B10" s="105"/>
      <c r="C10" s="105"/>
      <c r="D10" s="105"/>
      <c r="E10" s="107"/>
      <c r="F10" s="107"/>
      <c r="G10" s="107"/>
      <c r="H10" s="107"/>
      <c r="I10" s="107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>
      <c r="A11" s="105"/>
      <c r="B11" s="107" t="s">
        <v>149</v>
      </c>
      <c r="C11" s="105"/>
      <c r="D11" s="111">
        <v>0.02</v>
      </c>
      <c r="E11" s="107"/>
      <c r="F11" s="107" t="s">
        <v>149</v>
      </c>
      <c r="G11" s="105"/>
      <c r="H11" s="111">
        <v>0.02</v>
      </c>
      <c r="I11" s="107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>
      <c r="A12" s="105"/>
      <c r="B12" s="107"/>
      <c r="C12" s="105"/>
      <c r="D12" s="111"/>
      <c r="E12" s="107"/>
      <c r="F12" s="107"/>
      <c r="G12" s="105"/>
      <c r="H12" s="111"/>
      <c r="I12" s="107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s="160" customFormat="1">
      <c r="A13" s="124" t="s">
        <v>282</v>
      </c>
      <c r="B13" s="157"/>
      <c r="C13" s="158"/>
      <c r="D13" s="159"/>
      <c r="E13" s="159"/>
      <c r="F13" s="159" t="s">
        <v>283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>
      <c r="A14" s="115" t="s">
        <v>229</v>
      </c>
      <c r="B14" s="116" t="s">
        <v>227</v>
      </c>
      <c r="C14" s="117" t="s">
        <v>151</v>
      </c>
      <c r="D14" s="118" t="s">
        <v>230</v>
      </c>
      <c r="E14" s="114"/>
      <c r="F14" s="115" t="s">
        <v>229</v>
      </c>
      <c r="G14" s="116" t="s">
        <v>227</v>
      </c>
      <c r="H14" s="117" t="s">
        <v>151</v>
      </c>
      <c r="I14" s="118" t="s">
        <v>230</v>
      </c>
      <c r="J14" s="118" t="s">
        <v>230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>
      <c r="A15" s="119"/>
      <c r="B15" s="120"/>
      <c r="C15" s="121"/>
      <c r="D15" s="122">
        <f>SUM(D16:D28)</f>
        <v>16055845.039999999</v>
      </c>
      <c r="E15" s="114"/>
      <c r="F15" s="119"/>
      <c r="G15" s="120"/>
      <c r="H15" s="121"/>
      <c r="I15" s="122">
        <f>SUM(I16:I28)</f>
        <v>12557557</v>
      </c>
      <c r="J15" s="122">
        <f>SUM(J16:J28)</f>
        <v>12557557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>
      <c r="A16" s="115">
        <v>0</v>
      </c>
      <c r="B16" s="115">
        <f t="shared" ref="B16:B28" si="0">YEAR(C16)</f>
        <v>2017</v>
      </c>
      <c r="C16" s="123">
        <f>D5</f>
        <v>42870</v>
      </c>
      <c r="D16" s="118">
        <v>479783.18800000008</v>
      </c>
      <c r="E16" s="114"/>
      <c r="F16" s="115">
        <v>0</v>
      </c>
      <c r="G16" s="115">
        <f t="shared" ref="G16:G28" si="1">YEAR(H16)</f>
        <v>2017</v>
      </c>
      <c r="H16" s="123">
        <f>H5</f>
        <v>42870</v>
      </c>
      <c r="I16" s="118">
        <v>501350</v>
      </c>
      <c r="J16" s="118">
        <v>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>
      <c r="A17" s="115">
        <v>1</v>
      </c>
      <c r="B17" s="115">
        <f t="shared" si="0"/>
        <v>2017</v>
      </c>
      <c r="C17" s="123">
        <f>EOMONTH(Założenia_kredyty!$D$5,A17)</f>
        <v>42916</v>
      </c>
      <c r="D17" s="118">
        <v>137070</v>
      </c>
      <c r="E17" s="114"/>
      <c r="F17" s="115">
        <v>1</v>
      </c>
      <c r="G17" s="115">
        <f t="shared" si="1"/>
        <v>2017</v>
      </c>
      <c r="H17" s="123">
        <f>EOMONTH(Założenia_kredyty!$D$5,F17)</f>
        <v>42916</v>
      </c>
      <c r="I17" s="118">
        <v>210174</v>
      </c>
      <c r="J17" s="118">
        <v>0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15">
        <v>2</v>
      </c>
      <c r="B18" s="115">
        <f t="shared" si="0"/>
        <v>2017</v>
      </c>
      <c r="C18" s="123">
        <f>EOMONTH(Założenia_kredyty!$D$5,A18)</f>
        <v>42947</v>
      </c>
      <c r="D18" s="118">
        <v>5095991.852</v>
      </c>
      <c r="E18" s="114"/>
      <c r="F18" s="115">
        <v>2</v>
      </c>
      <c r="G18" s="115">
        <f t="shared" si="1"/>
        <v>2017</v>
      </c>
      <c r="H18" s="123">
        <f>EOMONTH(Założenia_kredyty!$D$5,F18)</f>
        <v>42947</v>
      </c>
      <c r="I18" s="118">
        <v>3334308</v>
      </c>
      <c r="J18" s="118">
        <f>I16</f>
        <v>501350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>
      <c r="A19" s="115">
        <v>3</v>
      </c>
      <c r="B19" s="115">
        <f t="shared" si="0"/>
        <v>2017</v>
      </c>
      <c r="C19" s="123">
        <f>EOMONTH(Założenia_kredyty!$D$5,A19)</f>
        <v>42978</v>
      </c>
      <c r="D19" s="118">
        <v>0</v>
      </c>
      <c r="E19" s="114"/>
      <c r="F19" s="115">
        <v>3</v>
      </c>
      <c r="G19" s="115">
        <f t="shared" si="1"/>
        <v>2017</v>
      </c>
      <c r="H19" s="123">
        <f>EOMONTH(Założenia_kredyty!$D$5,F19)</f>
        <v>42978</v>
      </c>
      <c r="I19" s="118">
        <v>0</v>
      </c>
      <c r="J19" s="118">
        <f t="shared" ref="J19:J28" si="2">I17</f>
        <v>210174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>
      <c r="A20" s="115">
        <v>4</v>
      </c>
      <c r="B20" s="115">
        <f t="shared" si="0"/>
        <v>2017</v>
      </c>
      <c r="C20" s="123">
        <f>EOMONTH(Założenia_kredyty!$D$5,A20)</f>
        <v>43008</v>
      </c>
      <c r="D20" s="118">
        <v>3567500</v>
      </c>
      <c r="E20" s="114"/>
      <c r="F20" s="115">
        <v>4</v>
      </c>
      <c r="G20" s="115">
        <f t="shared" si="1"/>
        <v>2017</v>
      </c>
      <c r="H20" s="123">
        <f>EOMONTH(Założenia_kredyty!$D$5,F20)</f>
        <v>43008</v>
      </c>
      <c r="I20" s="118">
        <v>2941700</v>
      </c>
      <c r="J20" s="118">
        <f t="shared" si="2"/>
        <v>3334308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>
      <c r="A21" s="115">
        <v>5</v>
      </c>
      <c r="B21" s="115">
        <f t="shared" si="0"/>
        <v>2017</v>
      </c>
      <c r="C21" s="123">
        <f>EOMONTH(Założenia_kredyty!$D$5,A21)</f>
        <v>43039</v>
      </c>
      <c r="D21" s="118">
        <v>1477500</v>
      </c>
      <c r="E21" s="114"/>
      <c r="F21" s="115">
        <v>5</v>
      </c>
      <c r="G21" s="115">
        <f t="shared" si="1"/>
        <v>2017</v>
      </c>
      <c r="H21" s="123">
        <f>EOMONTH(Założenia_kredyty!$D$5,F21)</f>
        <v>43039</v>
      </c>
      <c r="I21" s="118">
        <v>1718100</v>
      </c>
      <c r="J21" s="118">
        <f t="shared" si="2"/>
        <v>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>
      <c r="A22" s="115">
        <v>6</v>
      </c>
      <c r="B22" s="115">
        <f t="shared" si="0"/>
        <v>2017</v>
      </c>
      <c r="C22" s="123">
        <f>EOMONTH(Założenia_kredyty!$D$5,A22)</f>
        <v>43069</v>
      </c>
      <c r="D22" s="118">
        <v>2955000</v>
      </c>
      <c r="E22" s="114"/>
      <c r="F22" s="115">
        <v>6</v>
      </c>
      <c r="G22" s="115">
        <f t="shared" si="1"/>
        <v>2017</v>
      </c>
      <c r="H22" s="123">
        <f>EOMONTH(Założenia_kredyty!$D$5,F22)</f>
        <v>43069</v>
      </c>
      <c r="I22" s="118">
        <v>3436200</v>
      </c>
      <c r="J22" s="118">
        <f t="shared" si="2"/>
        <v>2941700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>
      <c r="A23" s="115">
        <v>7</v>
      </c>
      <c r="B23" s="115">
        <f t="shared" si="0"/>
        <v>2017</v>
      </c>
      <c r="C23" s="123">
        <f>EOMONTH(Założenia_kredyty!$D$5,A23)</f>
        <v>43100</v>
      </c>
      <c r="D23" s="118">
        <v>2343000</v>
      </c>
      <c r="E23" s="114"/>
      <c r="F23" s="115">
        <v>7</v>
      </c>
      <c r="G23" s="115">
        <f t="shared" si="1"/>
        <v>2017</v>
      </c>
      <c r="H23" s="123">
        <f>EOMONTH(Założenia_kredyty!$D$5,F23)</f>
        <v>43100</v>
      </c>
      <c r="I23" s="118">
        <v>415725</v>
      </c>
      <c r="J23" s="118">
        <f t="shared" si="2"/>
        <v>1718100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>
      <c r="A24" s="115">
        <v>8</v>
      </c>
      <c r="B24" s="115">
        <f t="shared" si="0"/>
        <v>2018</v>
      </c>
      <c r="C24" s="123">
        <f>EOMONTH(Założenia_kredyty!$D$5,A24)</f>
        <v>43131</v>
      </c>
      <c r="D24" s="118">
        <v>0</v>
      </c>
      <c r="E24" s="114"/>
      <c r="F24" s="115">
        <v>8</v>
      </c>
      <c r="G24" s="115">
        <f t="shared" si="1"/>
        <v>2018</v>
      </c>
      <c r="H24" s="123">
        <f>EOMONTH(Założenia_kredyty!$D$5,F24)</f>
        <v>43131</v>
      </c>
      <c r="I24" s="118">
        <v>0</v>
      </c>
      <c r="J24" s="118">
        <f t="shared" si="2"/>
        <v>3436200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>
      <c r="A25" s="115">
        <v>9</v>
      </c>
      <c r="B25" s="115">
        <f t="shared" si="0"/>
        <v>2018</v>
      </c>
      <c r="C25" s="123">
        <f>EOMONTH(Założenia_kredyty!$D$5,A25)</f>
        <v>43159</v>
      </c>
      <c r="D25" s="118">
        <v>0</v>
      </c>
      <c r="E25" s="114"/>
      <c r="F25" s="115">
        <v>9</v>
      </c>
      <c r="G25" s="115">
        <f t="shared" si="1"/>
        <v>2018</v>
      </c>
      <c r="H25" s="123">
        <f>EOMONTH(Założenia_kredyty!$D$5,F25)</f>
        <v>43159</v>
      </c>
      <c r="I25" s="118">
        <v>0</v>
      </c>
      <c r="J25" s="118">
        <f t="shared" si="2"/>
        <v>415725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>
      <c r="A26" s="115">
        <v>10</v>
      </c>
      <c r="B26" s="115">
        <f t="shared" si="0"/>
        <v>2018</v>
      </c>
      <c r="C26" s="123">
        <f>EOMONTH(Założenia_kredyty!$D$5,A26)</f>
        <v>43190</v>
      </c>
      <c r="D26" s="118">
        <v>0</v>
      </c>
      <c r="E26" s="114"/>
      <c r="F26" s="115">
        <v>10</v>
      </c>
      <c r="G26" s="115">
        <f t="shared" si="1"/>
        <v>2018</v>
      </c>
      <c r="H26" s="123">
        <f>EOMONTH(Założenia_kredyty!$D$5,F26)</f>
        <v>43190</v>
      </c>
      <c r="I26" s="118">
        <v>0</v>
      </c>
      <c r="J26" s="118">
        <f t="shared" si="2"/>
        <v>0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>
      <c r="A27" s="115">
        <v>11</v>
      </c>
      <c r="B27" s="115">
        <f t="shared" si="0"/>
        <v>2018</v>
      </c>
      <c r="C27" s="123">
        <f>EOMONTH(Założenia_kredyty!$D$5,A27)</f>
        <v>43220</v>
      </c>
      <c r="D27" s="118">
        <v>0</v>
      </c>
      <c r="E27" s="114"/>
      <c r="F27" s="115">
        <v>11</v>
      </c>
      <c r="G27" s="115">
        <f t="shared" si="1"/>
        <v>2018</v>
      </c>
      <c r="H27" s="123">
        <f>EOMONTH(Założenia_kredyty!$D$5,F27)</f>
        <v>43220</v>
      </c>
      <c r="I27" s="118">
        <v>0</v>
      </c>
      <c r="J27" s="118">
        <f t="shared" si="2"/>
        <v>0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>
      <c r="A28" s="115">
        <v>12</v>
      </c>
      <c r="B28" s="115">
        <f t="shared" si="0"/>
        <v>2018</v>
      </c>
      <c r="C28" s="123">
        <f>EOMONTH(Założenia_kredyty!$D$5,A28)</f>
        <v>43251</v>
      </c>
      <c r="D28" s="118">
        <v>0</v>
      </c>
      <c r="E28" s="114"/>
      <c r="F28" s="115">
        <v>12</v>
      </c>
      <c r="G28" s="115">
        <f t="shared" si="1"/>
        <v>2018</v>
      </c>
      <c r="H28" s="123">
        <f>EOMONTH(Założenia_kredyty!$D$5,F28)</f>
        <v>43251</v>
      </c>
      <c r="I28" s="118">
        <v>0</v>
      </c>
      <c r="J28" s="118">
        <f t="shared" si="2"/>
        <v>0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>
      <c r="A29" s="105"/>
      <c r="B29" s="112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>
      <c r="A30" s="105"/>
      <c r="B30" s="124" t="s">
        <v>232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>
      <c r="A31" s="30" t="s">
        <v>0</v>
      </c>
      <c r="B31" s="289" t="s">
        <v>4</v>
      </c>
      <c r="C31" s="290"/>
      <c r="D31" s="31" t="s">
        <v>13</v>
      </c>
      <c r="E31" s="31">
        <f>Założenia!E1</f>
        <v>2012</v>
      </c>
      <c r="F31" s="31">
        <f>Założenia!F1</f>
        <v>2013</v>
      </c>
      <c r="G31" s="31">
        <f>Założenia!G1</f>
        <v>2014</v>
      </c>
      <c r="H31" s="31">
        <f>Założenia!H1</f>
        <v>2015</v>
      </c>
      <c r="I31" s="31">
        <f>Założenia!I1</f>
        <v>2016</v>
      </c>
      <c r="J31" s="31">
        <f>Założenia!J1</f>
        <v>2017</v>
      </c>
      <c r="K31" s="31">
        <f>Założenia!K1</f>
        <v>2018</v>
      </c>
      <c r="L31" s="31">
        <f>Założenia!L1</f>
        <v>2019</v>
      </c>
      <c r="M31" s="31">
        <f>Założenia!M1</f>
        <v>2020</v>
      </c>
      <c r="N31" s="31">
        <f>Założenia!N1</f>
        <v>2021</v>
      </c>
      <c r="O31" s="31">
        <f>Założenia!O1</f>
        <v>2022</v>
      </c>
      <c r="P31" s="31">
        <f>Założenia!P1</f>
        <v>2023</v>
      </c>
      <c r="Q31" s="31">
        <f>Założenia!Q1</f>
        <v>2024</v>
      </c>
      <c r="R31" s="31">
        <f>Założenia!R1</f>
        <v>2025</v>
      </c>
      <c r="S31" s="31">
        <f>Założenia!S1</f>
        <v>2026</v>
      </c>
      <c r="T31" s="31">
        <f>Założenia!T1</f>
        <v>2027</v>
      </c>
      <c r="U31" s="31">
        <f>Założenia!U1</f>
        <v>2028</v>
      </c>
      <c r="V31" s="31" t="e">
        <f>Założenia!#REF!</f>
        <v>#REF!</v>
      </c>
      <c r="W31" s="31" t="e">
        <f>Założenia!#REF!</f>
        <v>#REF!</v>
      </c>
      <c r="X31" s="31" t="e">
        <f>Założenia!#REF!</f>
        <v>#REF!</v>
      </c>
    </row>
    <row r="32" spans="1:24">
      <c r="A32" s="115"/>
      <c r="B32" s="291" t="s">
        <v>232</v>
      </c>
      <c r="C32" s="292"/>
      <c r="D32" s="125" t="s">
        <v>16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</row>
    <row r="33" spans="1:24">
      <c r="A33" s="105"/>
      <c r="B33" s="112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>
      <c r="A34" s="105"/>
      <c r="B34" s="124" t="s">
        <v>284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>
      <c r="A35" s="30" t="s">
        <v>0</v>
      </c>
      <c r="B35" s="289" t="s">
        <v>4</v>
      </c>
      <c r="C35" s="290"/>
      <c r="D35" s="31" t="s">
        <v>13</v>
      </c>
      <c r="E35" s="31">
        <f>Założenia!E1</f>
        <v>2012</v>
      </c>
      <c r="F35" s="31">
        <f>Założenia!F1</f>
        <v>2013</v>
      </c>
      <c r="G35" s="31">
        <f>Założenia!G1</f>
        <v>2014</v>
      </c>
      <c r="H35" s="31">
        <f>Założenia!H1</f>
        <v>2015</v>
      </c>
      <c r="I35" s="31">
        <f>Założenia!I1</f>
        <v>2016</v>
      </c>
      <c r="J35" s="31">
        <f>Założenia!J1</f>
        <v>2017</v>
      </c>
      <c r="K35" s="31">
        <f>Założenia!K1</f>
        <v>2018</v>
      </c>
      <c r="L35" s="31">
        <f>Założenia!L1</f>
        <v>2019</v>
      </c>
      <c r="M35" s="31">
        <f>Założenia!M1</f>
        <v>2020</v>
      </c>
      <c r="N35" s="31">
        <f>Założenia!N1</f>
        <v>2021</v>
      </c>
      <c r="O35" s="31">
        <f>Założenia!O1</f>
        <v>2022</v>
      </c>
      <c r="P35" s="31">
        <f>Założenia!P1</f>
        <v>2023</v>
      </c>
      <c r="Q35" s="31">
        <f>Założenia!Q1</f>
        <v>2024</v>
      </c>
      <c r="R35" s="31">
        <f>Założenia!R1</f>
        <v>2025</v>
      </c>
      <c r="S35" s="31">
        <f>Założenia!S1</f>
        <v>2026</v>
      </c>
      <c r="T35" s="31">
        <f>Założenia!T1</f>
        <v>2027</v>
      </c>
      <c r="U35" s="31">
        <f>Założenia!U1</f>
        <v>2028</v>
      </c>
      <c r="V35" s="31" t="e">
        <f>Założenia!#REF!</f>
        <v>#REF!</v>
      </c>
      <c r="W35" s="31" t="e">
        <f>Założenia!#REF!</f>
        <v>#REF!</v>
      </c>
      <c r="X35" s="31" t="e">
        <f>Założenia!#REF!</f>
        <v>#REF!</v>
      </c>
    </row>
    <row r="36" spans="1:24">
      <c r="A36" s="115"/>
      <c r="B36" s="291" t="s">
        <v>325</v>
      </c>
      <c r="C36" s="292"/>
      <c r="D36" s="125" t="s">
        <v>16</v>
      </c>
      <c r="E36" s="126">
        <f>E40/3</f>
        <v>0</v>
      </c>
      <c r="F36" s="126">
        <f>F40/3</f>
        <v>0</v>
      </c>
      <c r="G36" s="126">
        <f>G40/3</f>
        <v>0</v>
      </c>
      <c r="H36" s="126">
        <f>H40/3</f>
        <v>0</v>
      </c>
      <c r="I36" s="126">
        <v>0</v>
      </c>
      <c r="J36" s="126">
        <f>SUMIF($B16:$B28,J39,$D16:$D28)</f>
        <v>16055845.039999999</v>
      </c>
      <c r="K36" s="126"/>
      <c r="L36" s="126">
        <f t="shared" ref="L36:X36" si="3">L40/3</f>
        <v>0</v>
      </c>
      <c r="M36" s="126">
        <f t="shared" si="3"/>
        <v>0</v>
      </c>
      <c r="N36" s="126">
        <f t="shared" si="3"/>
        <v>0</v>
      </c>
      <c r="O36" s="126">
        <f t="shared" si="3"/>
        <v>0</v>
      </c>
      <c r="P36" s="126">
        <f t="shared" si="3"/>
        <v>0</v>
      </c>
      <c r="Q36" s="126">
        <f t="shared" si="3"/>
        <v>0</v>
      </c>
      <c r="R36" s="126">
        <f t="shared" si="3"/>
        <v>0</v>
      </c>
      <c r="S36" s="126">
        <f t="shared" si="3"/>
        <v>0</v>
      </c>
      <c r="T36" s="126">
        <f t="shared" si="3"/>
        <v>0</v>
      </c>
      <c r="U36" s="126">
        <f t="shared" si="3"/>
        <v>0</v>
      </c>
      <c r="V36" s="126">
        <f t="shared" si="3"/>
        <v>0</v>
      </c>
      <c r="W36" s="126">
        <f t="shared" si="3"/>
        <v>0</v>
      </c>
      <c r="X36" s="126">
        <f t="shared" si="3"/>
        <v>0</v>
      </c>
    </row>
    <row r="37" spans="1:24">
      <c r="A37" s="127"/>
      <c r="B37" s="128"/>
      <c r="C37" s="1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>
      <c r="A38" s="105"/>
      <c r="B38" s="124" t="s">
        <v>285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>
      <c r="A39" s="30" t="s">
        <v>0</v>
      </c>
      <c r="B39" s="289" t="s">
        <v>4</v>
      </c>
      <c r="C39" s="290"/>
      <c r="D39" s="31" t="s">
        <v>13</v>
      </c>
      <c r="E39" s="31">
        <f>Założenia!E1</f>
        <v>2012</v>
      </c>
      <c r="F39" s="31">
        <f>Założenia!F1</f>
        <v>2013</v>
      </c>
      <c r="G39" s="31">
        <f>Założenia!G1</f>
        <v>2014</v>
      </c>
      <c r="H39" s="31">
        <f>Założenia!H1</f>
        <v>2015</v>
      </c>
      <c r="I39" s="31">
        <f>Założenia!I1</f>
        <v>2016</v>
      </c>
      <c r="J39" s="31">
        <f>Założenia!J1</f>
        <v>2017</v>
      </c>
      <c r="K39" s="31">
        <f>Założenia!K1</f>
        <v>2018</v>
      </c>
      <c r="L39" s="31">
        <f>Założenia!L1</f>
        <v>2019</v>
      </c>
      <c r="M39" s="31">
        <f>Założenia!M1</f>
        <v>2020</v>
      </c>
      <c r="N39" s="31">
        <f>Założenia!N1</f>
        <v>2021</v>
      </c>
      <c r="O39" s="31">
        <f>Założenia!O1</f>
        <v>2022</v>
      </c>
      <c r="P39" s="31">
        <f>Założenia!P1</f>
        <v>2023</v>
      </c>
      <c r="Q39" s="31">
        <f>Założenia!Q1</f>
        <v>2024</v>
      </c>
      <c r="R39" s="31">
        <f>Założenia!R1</f>
        <v>2025</v>
      </c>
      <c r="S39" s="31">
        <f>Założenia!S1</f>
        <v>2026</v>
      </c>
      <c r="T39" s="31">
        <f>Założenia!T1</f>
        <v>2027</v>
      </c>
      <c r="U39" s="31">
        <f>Założenia!U1</f>
        <v>2028</v>
      </c>
      <c r="V39" s="31" t="e">
        <f>Założenia!#REF!</f>
        <v>#REF!</v>
      </c>
      <c r="W39" s="31" t="e">
        <f>Założenia!#REF!</f>
        <v>#REF!</v>
      </c>
      <c r="X39" s="31" t="e">
        <f>Założenia!#REF!</f>
        <v>#REF!</v>
      </c>
    </row>
    <row r="40" spans="1:24">
      <c r="A40" s="115"/>
      <c r="B40" s="291" t="s">
        <v>326</v>
      </c>
      <c r="C40" s="292"/>
      <c r="D40" s="125" t="s">
        <v>16</v>
      </c>
      <c r="E40" s="126">
        <f t="shared" ref="E40:X40" si="4">SUMIF($B16:$B28,E39,$D16:$D28)</f>
        <v>0</v>
      </c>
      <c r="F40" s="126">
        <f t="shared" si="4"/>
        <v>0</v>
      </c>
      <c r="G40" s="126">
        <f t="shared" si="4"/>
        <v>0</v>
      </c>
      <c r="H40" s="126">
        <f t="shared" si="4"/>
        <v>0</v>
      </c>
      <c r="I40" s="126">
        <f t="shared" si="4"/>
        <v>0</v>
      </c>
      <c r="J40" s="126">
        <f>SUMIF($G16:$G28,J39,$I16:$I28)</f>
        <v>12557557</v>
      </c>
      <c r="K40" s="126">
        <f t="shared" si="4"/>
        <v>0</v>
      </c>
      <c r="L40" s="126">
        <f t="shared" si="4"/>
        <v>0</v>
      </c>
      <c r="M40" s="126">
        <f t="shared" si="4"/>
        <v>0</v>
      </c>
      <c r="N40" s="126">
        <f t="shared" si="4"/>
        <v>0</v>
      </c>
      <c r="O40" s="126">
        <f t="shared" si="4"/>
        <v>0</v>
      </c>
      <c r="P40" s="126">
        <f t="shared" si="4"/>
        <v>0</v>
      </c>
      <c r="Q40" s="126">
        <f t="shared" si="4"/>
        <v>0</v>
      </c>
      <c r="R40" s="126">
        <f t="shared" si="4"/>
        <v>0</v>
      </c>
      <c r="S40" s="126">
        <f t="shared" si="4"/>
        <v>0</v>
      </c>
      <c r="T40" s="126">
        <f t="shared" si="4"/>
        <v>0</v>
      </c>
      <c r="U40" s="126">
        <f t="shared" si="4"/>
        <v>0</v>
      </c>
      <c r="V40" s="126">
        <f t="shared" si="4"/>
        <v>0</v>
      </c>
      <c r="W40" s="126">
        <f t="shared" si="4"/>
        <v>0</v>
      </c>
      <c r="X40" s="126">
        <f t="shared" si="4"/>
        <v>0</v>
      </c>
    </row>
    <row r="41" spans="1:24">
      <c r="A41" s="127"/>
      <c r="B41" s="128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>
      <c r="A42" s="127"/>
      <c r="B42" s="128"/>
      <c r="C42" s="128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>
      <c r="A43" s="127"/>
      <c r="B43" s="128"/>
      <c r="C43" s="128"/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>
      <c r="A44" s="127"/>
      <c r="B44" s="128"/>
      <c r="C44" s="128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>
      <c r="A46" s="105"/>
      <c r="B46" s="124" t="s">
        <v>233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>
      <c r="A47" s="30" t="s">
        <v>0</v>
      </c>
      <c r="B47" s="289" t="s">
        <v>4</v>
      </c>
      <c r="C47" s="290"/>
      <c r="D47" s="31" t="s">
        <v>13</v>
      </c>
      <c r="E47" s="31">
        <f>Założenia!E1</f>
        <v>2012</v>
      </c>
      <c r="F47" s="31">
        <f>Założenia!F1</f>
        <v>2013</v>
      </c>
      <c r="G47" s="31">
        <f>Założenia!G1</f>
        <v>2014</v>
      </c>
      <c r="H47" s="31">
        <f>Założenia!H1</f>
        <v>2015</v>
      </c>
      <c r="I47" s="31">
        <f>Założenia!I1</f>
        <v>2016</v>
      </c>
      <c r="J47" s="31">
        <f>Założenia!J1</f>
        <v>2017</v>
      </c>
      <c r="K47" s="31">
        <f>Założenia!K1</f>
        <v>2018</v>
      </c>
      <c r="L47" s="31">
        <f>Założenia!L1</f>
        <v>2019</v>
      </c>
      <c r="M47" s="31">
        <f>Założenia!M1</f>
        <v>2020</v>
      </c>
      <c r="N47" s="31">
        <f>Założenia!N1</f>
        <v>2021</v>
      </c>
      <c r="O47" s="31">
        <f>Założenia!O1</f>
        <v>2022</v>
      </c>
      <c r="P47" s="31">
        <f>Założenia!P1</f>
        <v>2023</v>
      </c>
      <c r="Q47" s="31">
        <f>Założenia!Q1</f>
        <v>2024</v>
      </c>
      <c r="R47" s="31">
        <f>Założenia!R1</f>
        <v>2025</v>
      </c>
      <c r="S47" s="31">
        <f>Założenia!S1</f>
        <v>2026</v>
      </c>
      <c r="T47" s="31">
        <f>Założenia!T1</f>
        <v>2027</v>
      </c>
      <c r="U47" s="31">
        <f>Założenia!U1</f>
        <v>2028</v>
      </c>
      <c r="V47" s="31" t="e">
        <f>Założenia!#REF!</f>
        <v>#REF!</v>
      </c>
      <c r="W47" s="31" t="e">
        <f>Założenia!#REF!</f>
        <v>#REF!</v>
      </c>
      <c r="X47" s="31" t="e">
        <f>Założenia!#REF!</f>
        <v>#REF!</v>
      </c>
    </row>
    <row r="48" spans="1:24">
      <c r="A48" s="115"/>
      <c r="B48" s="291" t="s">
        <v>218</v>
      </c>
      <c r="C48" s="292"/>
      <c r="D48" s="125" t="s">
        <v>16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</row>
  </sheetData>
  <mergeCells count="8">
    <mergeCell ref="B48:C48"/>
    <mergeCell ref="B35:C35"/>
    <mergeCell ref="B36:C36"/>
    <mergeCell ref="B31:C31"/>
    <mergeCell ref="B32:C32"/>
    <mergeCell ref="B39:C39"/>
    <mergeCell ref="B40:C40"/>
    <mergeCell ref="B47:C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32"/>
  <sheetViews>
    <sheetView showGridLines="0" workbookViewId="0">
      <selection activeCell="J57" sqref="J57"/>
    </sheetView>
  </sheetViews>
  <sheetFormatPr defaultRowHeight="13.8"/>
  <cols>
    <col min="1" max="1" width="3.296875" style="104" bestFit="1" customWidth="1"/>
    <col min="2" max="2" width="11.19921875" style="104" customWidth="1"/>
    <col min="3" max="3" width="3.5" style="104" bestFit="1" customWidth="1"/>
    <col min="4" max="16384" width="8.796875" style="104"/>
  </cols>
  <sheetData>
    <row r="1" spans="1:32">
      <c r="A1" s="104" t="s">
        <v>262</v>
      </c>
      <c r="L1" s="104" t="s">
        <v>263</v>
      </c>
      <c r="W1" s="104" t="s">
        <v>276</v>
      </c>
    </row>
    <row r="2" spans="1:32" ht="30" customHeight="1">
      <c r="A2" s="293" t="s">
        <v>226</v>
      </c>
      <c r="B2" s="293" t="s">
        <v>145</v>
      </c>
      <c r="C2" s="294" t="s">
        <v>227</v>
      </c>
      <c r="D2" s="287" t="s">
        <v>151</v>
      </c>
      <c r="E2" s="287" t="s">
        <v>242</v>
      </c>
      <c r="F2" s="287" t="s">
        <v>152</v>
      </c>
      <c r="G2" s="130" t="s">
        <v>146</v>
      </c>
      <c r="H2" s="131"/>
      <c r="I2" s="132"/>
      <c r="J2" s="133" t="s">
        <v>147</v>
      </c>
      <c r="L2" s="293" t="s">
        <v>226</v>
      </c>
      <c r="M2" s="293" t="s">
        <v>145</v>
      </c>
      <c r="N2" s="294" t="s">
        <v>227</v>
      </c>
      <c r="O2" s="287" t="s">
        <v>151</v>
      </c>
      <c r="P2" s="287" t="s">
        <v>242</v>
      </c>
      <c r="Q2" s="287" t="s">
        <v>152</v>
      </c>
      <c r="R2" s="130" t="s">
        <v>146</v>
      </c>
      <c r="S2" s="131"/>
      <c r="T2" s="132"/>
      <c r="U2" s="133" t="s">
        <v>147</v>
      </c>
      <c r="W2" s="293" t="s">
        <v>226</v>
      </c>
      <c r="X2" s="293" t="s">
        <v>145</v>
      </c>
      <c r="Y2" s="294" t="s">
        <v>227</v>
      </c>
      <c r="Z2" s="287" t="s">
        <v>151</v>
      </c>
      <c r="AA2" s="287" t="s">
        <v>242</v>
      </c>
      <c r="AB2" s="287" t="s">
        <v>152</v>
      </c>
      <c r="AC2" s="130" t="s">
        <v>146</v>
      </c>
      <c r="AD2" s="131"/>
      <c r="AE2" s="132"/>
      <c r="AF2" s="133" t="s">
        <v>147</v>
      </c>
    </row>
    <row r="3" spans="1:32" ht="20.399999999999999">
      <c r="A3" s="293"/>
      <c r="B3" s="293"/>
      <c r="C3" s="295"/>
      <c r="D3" s="288"/>
      <c r="E3" s="288"/>
      <c r="F3" s="288"/>
      <c r="G3" s="134" t="s">
        <v>231</v>
      </c>
      <c r="H3" s="134" t="s">
        <v>144</v>
      </c>
      <c r="I3" s="134" t="s">
        <v>2</v>
      </c>
      <c r="J3" s="135"/>
      <c r="L3" s="293"/>
      <c r="M3" s="293"/>
      <c r="N3" s="295"/>
      <c r="O3" s="288"/>
      <c r="P3" s="288"/>
      <c r="Q3" s="288"/>
      <c r="R3" s="134" t="s">
        <v>231</v>
      </c>
      <c r="S3" s="134" t="s">
        <v>144</v>
      </c>
      <c r="T3" s="134" t="s">
        <v>2</v>
      </c>
      <c r="U3" s="135"/>
      <c r="W3" s="293"/>
      <c r="X3" s="293"/>
      <c r="Y3" s="295"/>
      <c r="Z3" s="288"/>
      <c r="AA3" s="288"/>
      <c r="AB3" s="288"/>
      <c r="AC3" s="148" t="s">
        <v>231</v>
      </c>
      <c r="AD3" s="148" t="s">
        <v>144</v>
      </c>
      <c r="AE3" s="148" t="s">
        <v>2</v>
      </c>
      <c r="AF3" s="135"/>
    </row>
    <row r="4" spans="1:32">
      <c r="A4" s="134"/>
      <c r="B4" s="134"/>
      <c r="C4" s="136"/>
      <c r="D4" s="137"/>
      <c r="E4" s="137"/>
      <c r="F4" s="137"/>
      <c r="G4" s="138">
        <f>SUM(G5:G132)</f>
        <v>16055845.039999999</v>
      </c>
      <c r="H4" s="138">
        <f>SUM(H5:H132)</f>
        <v>4410019</v>
      </c>
      <c r="I4" s="138">
        <f>SUM(I5:I132)</f>
        <v>20465864.04000001</v>
      </c>
      <c r="J4" s="135"/>
      <c r="L4" s="134"/>
      <c r="M4" s="134"/>
      <c r="N4" s="136"/>
      <c r="O4" s="137"/>
      <c r="P4" s="137"/>
      <c r="Q4" s="137"/>
      <c r="R4" s="138">
        <f>SUM(R5:R132)</f>
        <v>12557557</v>
      </c>
      <c r="S4" s="138">
        <f>SUM(S5:S132)</f>
        <v>81089</v>
      </c>
      <c r="T4" s="138">
        <f>SUM(T5:T132)</f>
        <v>12638646</v>
      </c>
      <c r="U4" s="135"/>
      <c r="W4" s="148"/>
      <c r="X4" s="148"/>
      <c r="Y4" s="136"/>
      <c r="Z4" s="147"/>
      <c r="AA4" s="147"/>
      <c r="AB4" s="147"/>
      <c r="AC4" s="138">
        <f>SUM(AC5:AC132)</f>
        <v>28613402.040000055</v>
      </c>
      <c r="AD4" s="138">
        <f>SUM(AD5:AD132)</f>
        <v>4491108</v>
      </c>
      <c r="AE4" s="138">
        <f>SUM(AE5:AE132)</f>
        <v>33104510.040000055</v>
      </c>
      <c r="AF4" s="135"/>
    </row>
    <row r="5" spans="1:32">
      <c r="A5" s="139">
        <v>0</v>
      </c>
      <c r="B5" s="118">
        <f>Założenia_kredyty!D16</f>
        <v>479783.18800000008</v>
      </c>
      <c r="C5" s="115">
        <f t="shared" ref="C5:C36" si="0">YEAR(D5)</f>
        <v>2017</v>
      </c>
      <c r="D5" s="140">
        <f>Założenia_kredyty!$D$5</f>
        <v>42870</v>
      </c>
      <c r="E5" s="141">
        <f>HLOOKUP(C5,Założenia!$I$5:$U$11,6,0)+Założenia_kredyty!$D$11</f>
        <v>3.8100000000000002E-2</v>
      </c>
      <c r="F5" s="115">
        <v>0</v>
      </c>
      <c r="G5" s="118">
        <f>IF(D5&gt;=Założenia_kredyty!$D$6,IF(B5&gt;=Założenia_kredyty!$D$7,Założenia_kredyty!$D$7,B5),0)</f>
        <v>0</v>
      </c>
      <c r="H5" s="118">
        <f>IF(Założenia_kredyty!$D$9="TAK",IF(D5=Założenia_kredyty!$D$6,SUM(Obliczenia_kredyty!F$5:F5),IF(D5&lt;Założenia_kredyty!$D$6,0,F5)),F5)</f>
        <v>0</v>
      </c>
      <c r="I5" s="118">
        <v>0</v>
      </c>
      <c r="J5" s="118">
        <f t="shared" ref="J5:J36" si="1">B5-G5</f>
        <v>479783.18800000008</v>
      </c>
      <c r="L5" s="139">
        <v>0</v>
      </c>
      <c r="M5" s="118">
        <f>Założenia_kredyty!I16</f>
        <v>501350</v>
      </c>
      <c r="N5" s="115">
        <f t="shared" ref="N5:N14" si="2">YEAR(O5)</f>
        <v>2017</v>
      </c>
      <c r="O5" s="140">
        <f>Założenia_kredyty!$D$5</f>
        <v>42870</v>
      </c>
      <c r="P5" s="141">
        <f>HLOOKUP(N5,Założenia!$I$5:$U$11,6,0)+Założenia_kredyty!$H$11</f>
        <v>3.8100000000000002E-2</v>
      </c>
      <c r="Q5" s="115">
        <v>0</v>
      </c>
      <c r="R5" s="118">
        <f>Założenia_kredyty!J16</f>
        <v>0</v>
      </c>
      <c r="S5" s="118">
        <f>IF(Założenia_kredyty!$H$9="TAK",IF(O5=Założenia_kredyty!$H$6,SUM(Obliczenia_kredyty!Q$5:Q5),IF(O5&lt;Założenia_kredyty!$H$6,0,Q5)),Q5)</f>
        <v>0</v>
      </c>
      <c r="T5" s="118">
        <v>0</v>
      </c>
      <c r="U5" s="118">
        <f t="shared" ref="U5:U14" si="3">M5-R5</f>
        <v>501350</v>
      </c>
      <c r="W5" s="139">
        <v>0</v>
      </c>
      <c r="X5" s="118">
        <f>B5+M5</f>
        <v>981133.18800000008</v>
      </c>
      <c r="Y5" s="115">
        <f t="shared" ref="Y5:Y14" si="4">YEAR(Z5)</f>
        <v>2017</v>
      </c>
      <c r="Z5" s="140">
        <f>Założenia_kredyty!$D$5</f>
        <v>42870</v>
      </c>
      <c r="AA5" s="141">
        <f>HLOOKUP(Y5,Założenia!$I$5:$U$11,7,0)</f>
        <v>0</v>
      </c>
      <c r="AB5" s="143">
        <f>F5+Q5</f>
        <v>0</v>
      </c>
      <c r="AC5" s="118">
        <f t="shared" ref="AC5:AC68" si="5">G5+R5</f>
        <v>0</v>
      </c>
      <c r="AD5" s="118">
        <f t="shared" ref="AD5:AD68" si="6">H5+S5</f>
        <v>0</v>
      </c>
      <c r="AE5" s="118">
        <f t="shared" ref="AE5:AE68" si="7">I5+T5</f>
        <v>0</v>
      </c>
      <c r="AF5" s="118">
        <f t="shared" ref="AF5:AF68" si="8">J5+U5</f>
        <v>981133.18800000008</v>
      </c>
    </row>
    <row r="6" spans="1:32">
      <c r="A6" s="139">
        <v>1</v>
      </c>
      <c r="B6" s="118">
        <f>J5+Założenia_kredyty!D17</f>
        <v>616853.18800000008</v>
      </c>
      <c r="C6" s="115">
        <f t="shared" si="0"/>
        <v>2017</v>
      </c>
      <c r="D6" s="142">
        <f>EOMONTH(Założenia_kredyty!$D$5,A6)</f>
        <v>42916</v>
      </c>
      <c r="E6" s="141">
        <f>HLOOKUP(C6,Założenia!$I$5:$U$11,6,0)+Założenia_kredyty!$D$11</f>
        <v>3.8100000000000002E-2</v>
      </c>
      <c r="F6" s="143">
        <f t="shared" ref="F6:F37" si="9">ROUND(J5*E6*(D6-D5)/365,0)</f>
        <v>2304</v>
      </c>
      <c r="G6" s="118">
        <f>IF(D6&gt;=Założenia_kredyty!$D$6,IF(B6&gt;=Założenia_kredyty!$D$7,Założenia_kredyty!$D$7,B6),0)</f>
        <v>0</v>
      </c>
      <c r="H6" s="118">
        <f>IF(Założenia_kredyty!$D$9="TAK",IF(D6=Założenia_kredyty!$D$6,SUM(Obliczenia_kredyty!F$5:F6),IF(D6&lt;Założenia_kredyty!$D$6,0,F6)),F6)</f>
        <v>0</v>
      </c>
      <c r="I6" s="118">
        <f t="shared" ref="I6:I37" si="10">G6+H6</f>
        <v>0</v>
      </c>
      <c r="J6" s="118">
        <f t="shared" si="1"/>
        <v>616853.18800000008</v>
      </c>
      <c r="L6" s="139">
        <v>1</v>
      </c>
      <c r="M6" s="118">
        <f>U5+Założenia_kredyty!I17</f>
        <v>711524</v>
      </c>
      <c r="N6" s="115">
        <f t="shared" si="2"/>
        <v>2017</v>
      </c>
      <c r="O6" s="142">
        <f>EOMONTH(Założenia_kredyty!$D$5,L6)</f>
        <v>42916</v>
      </c>
      <c r="P6" s="141">
        <f>HLOOKUP(N6,Założenia!$I$5:$U$11,6,0)+Założenia_kredyty!$H$11</f>
        <v>3.8100000000000002E-2</v>
      </c>
      <c r="Q6" s="143">
        <f t="shared" ref="Q6:Q14" si="11">ROUND(U5*P6*(O6-O5)/365,0)</f>
        <v>2407</v>
      </c>
      <c r="R6" s="118">
        <f>Założenia_kredyty!J17</f>
        <v>0</v>
      </c>
      <c r="S6" s="118">
        <f>IF(Założenia_kredyty!$H$9="TAK",IF(O6=Założenia_kredyty!$H$6,SUM(Obliczenia_kredyty!Q$5:Q6),IF(O6&lt;Założenia_kredyty!$H$6,0,Q6)),Q6)</f>
        <v>2407</v>
      </c>
      <c r="T6" s="118">
        <f t="shared" ref="T6:T14" si="12">R6+S6</f>
        <v>2407</v>
      </c>
      <c r="U6" s="118">
        <f t="shared" si="3"/>
        <v>711524</v>
      </c>
      <c r="W6" s="139">
        <v>1</v>
      </c>
      <c r="X6" s="118">
        <f t="shared" ref="X6:X69" si="13">B6+M6</f>
        <v>1328377.1880000001</v>
      </c>
      <c r="Y6" s="115">
        <f t="shared" si="4"/>
        <v>2017</v>
      </c>
      <c r="Z6" s="142">
        <f>EOMONTH(Założenia_kredyty!$D$5,W6)</f>
        <v>42916</v>
      </c>
      <c r="AA6" s="141">
        <f>HLOOKUP(Y6,Założenia!$I$5:$U$11,7,0)</f>
        <v>0</v>
      </c>
      <c r="AB6" s="143">
        <f t="shared" ref="AB6:AB69" si="14">F6+Q6</f>
        <v>4711</v>
      </c>
      <c r="AC6" s="118">
        <f t="shared" si="5"/>
        <v>0</v>
      </c>
      <c r="AD6" s="118">
        <f t="shared" si="6"/>
        <v>2407</v>
      </c>
      <c r="AE6" s="118">
        <f t="shared" si="7"/>
        <v>2407</v>
      </c>
      <c r="AF6" s="118">
        <f t="shared" si="8"/>
        <v>1328377.1880000001</v>
      </c>
    </row>
    <row r="7" spans="1:32">
      <c r="A7" s="139">
        <v>2</v>
      </c>
      <c r="B7" s="118">
        <f>J6+Założenia_kredyty!D18</f>
        <v>5712845.04</v>
      </c>
      <c r="C7" s="115">
        <f t="shared" si="0"/>
        <v>2017</v>
      </c>
      <c r="D7" s="142">
        <f>EOMONTH(Założenia_kredyty!$D$5,A7)</f>
        <v>42947</v>
      </c>
      <c r="E7" s="141">
        <f>HLOOKUP(C7,Założenia!$I$5:$U$11,6,0)+Założenia_kredyty!$D$11</f>
        <v>3.8100000000000002E-2</v>
      </c>
      <c r="F7" s="143">
        <f t="shared" si="9"/>
        <v>1996</v>
      </c>
      <c r="G7" s="118">
        <f>IF(D7&gt;=Założenia_kredyty!$D$6,IF(B7&gt;=Założenia_kredyty!$D$7,Założenia_kredyty!$D$7,B7),0)</f>
        <v>0</v>
      </c>
      <c r="H7" s="118">
        <f>IF(Założenia_kredyty!$D$9="TAK",IF(D7=Założenia_kredyty!$D$6,SUM(Obliczenia_kredyty!F$5:F7),IF(D7&lt;Założenia_kredyty!$D$6,0,F7)),F7)</f>
        <v>0</v>
      </c>
      <c r="I7" s="118">
        <f t="shared" si="10"/>
        <v>0</v>
      </c>
      <c r="J7" s="118">
        <f t="shared" si="1"/>
        <v>5712845.04</v>
      </c>
      <c r="L7" s="139">
        <v>2</v>
      </c>
      <c r="M7" s="118">
        <f>U6+Założenia_kredyty!I18</f>
        <v>4045832</v>
      </c>
      <c r="N7" s="115">
        <f t="shared" si="2"/>
        <v>2017</v>
      </c>
      <c r="O7" s="142">
        <f>EOMONTH(Założenia_kredyty!$D$5,L7)</f>
        <v>42947</v>
      </c>
      <c r="P7" s="141">
        <f>HLOOKUP(N7,Założenia!$I$5:$U$11,6,0)+Założenia_kredyty!$H$11</f>
        <v>3.8100000000000002E-2</v>
      </c>
      <c r="Q7" s="143">
        <f t="shared" si="11"/>
        <v>2302</v>
      </c>
      <c r="R7" s="118">
        <f>Założenia_kredyty!J18</f>
        <v>501350</v>
      </c>
      <c r="S7" s="118">
        <f>IF(Założenia_kredyty!$H$9="TAK",IF(O7=Założenia_kredyty!$H$6,SUM(Obliczenia_kredyty!Q$5:Q7),IF(O7&lt;Założenia_kredyty!$H$6,0,Q7)),Q7)</f>
        <v>2302</v>
      </c>
      <c r="T7" s="118">
        <f t="shared" si="12"/>
        <v>503652</v>
      </c>
      <c r="U7" s="118">
        <f t="shared" si="3"/>
        <v>3544482</v>
      </c>
      <c r="W7" s="139">
        <v>2</v>
      </c>
      <c r="X7" s="118">
        <f t="shared" si="13"/>
        <v>9758677.0399999991</v>
      </c>
      <c r="Y7" s="115">
        <f t="shared" si="4"/>
        <v>2017</v>
      </c>
      <c r="Z7" s="142">
        <f>EOMONTH(Założenia_kredyty!$D$5,W7)</f>
        <v>42947</v>
      </c>
      <c r="AA7" s="141">
        <f>HLOOKUP(Y7,Założenia!$I$5:$U$11,7,0)</f>
        <v>0</v>
      </c>
      <c r="AB7" s="143">
        <f t="shared" si="14"/>
        <v>4298</v>
      </c>
      <c r="AC7" s="118">
        <f t="shared" si="5"/>
        <v>501350</v>
      </c>
      <c r="AD7" s="118">
        <f t="shared" si="6"/>
        <v>2302</v>
      </c>
      <c r="AE7" s="118">
        <f t="shared" si="7"/>
        <v>503652</v>
      </c>
      <c r="AF7" s="118">
        <f t="shared" si="8"/>
        <v>9257327.0399999991</v>
      </c>
    </row>
    <row r="8" spans="1:32">
      <c r="A8" s="139">
        <v>3</v>
      </c>
      <c r="B8" s="118">
        <f>J7+Założenia_kredyty!D19</f>
        <v>5712845.04</v>
      </c>
      <c r="C8" s="115">
        <f t="shared" si="0"/>
        <v>2017</v>
      </c>
      <c r="D8" s="142">
        <f>EOMONTH(Założenia_kredyty!$D$5,A8)</f>
        <v>42978</v>
      </c>
      <c r="E8" s="141">
        <f>HLOOKUP(C8,Założenia!$I$5:$U$11,6,0)+Założenia_kredyty!$D$11</f>
        <v>3.8100000000000002E-2</v>
      </c>
      <c r="F8" s="143">
        <f t="shared" si="9"/>
        <v>18486</v>
      </c>
      <c r="G8" s="118">
        <f>IF(D8&gt;=Założenia_kredyty!$D$6,IF(B8&gt;=Założenia_kredyty!$D$7,Założenia_kredyty!$D$7,B8),0)</f>
        <v>0</v>
      </c>
      <c r="H8" s="118">
        <f>IF(Założenia_kredyty!$D$9="TAK",IF(D8=Założenia_kredyty!$D$6,SUM(Obliczenia_kredyty!F$5:F8),IF(D8&lt;Założenia_kredyty!$D$6,0,F8)),F8)</f>
        <v>0</v>
      </c>
      <c r="I8" s="118">
        <f t="shared" si="10"/>
        <v>0</v>
      </c>
      <c r="J8" s="118">
        <f t="shared" si="1"/>
        <v>5712845.04</v>
      </c>
      <c r="L8" s="139">
        <v>3</v>
      </c>
      <c r="M8" s="118">
        <f>U7+Założenia_kredyty!I19</f>
        <v>3544482</v>
      </c>
      <c r="N8" s="115">
        <f t="shared" si="2"/>
        <v>2017</v>
      </c>
      <c r="O8" s="142">
        <f>EOMONTH(Założenia_kredyty!$D$5,L8)</f>
        <v>42978</v>
      </c>
      <c r="P8" s="141">
        <f>HLOOKUP(N8,Założenia!$I$5:$U$11,6,0)+Założenia_kredyty!$H$11</f>
        <v>3.8100000000000002E-2</v>
      </c>
      <c r="Q8" s="143">
        <f t="shared" si="11"/>
        <v>11470</v>
      </c>
      <c r="R8" s="118">
        <f>Założenia_kredyty!J19</f>
        <v>210174</v>
      </c>
      <c r="S8" s="118">
        <f>IF(Założenia_kredyty!$H$9="TAK",IF(O8=Założenia_kredyty!$H$6,SUM(Obliczenia_kredyty!Q$5:Q8),IF(O8&lt;Założenia_kredyty!$H$6,0,Q8)),Q8)</f>
        <v>11470</v>
      </c>
      <c r="T8" s="118">
        <f t="shared" si="12"/>
        <v>221644</v>
      </c>
      <c r="U8" s="118">
        <f t="shared" si="3"/>
        <v>3334308</v>
      </c>
      <c r="W8" s="139">
        <v>3</v>
      </c>
      <c r="X8" s="118">
        <f t="shared" si="13"/>
        <v>9257327.0399999991</v>
      </c>
      <c r="Y8" s="115">
        <f t="shared" si="4"/>
        <v>2017</v>
      </c>
      <c r="Z8" s="142">
        <f>EOMONTH(Założenia_kredyty!$D$5,W8)</f>
        <v>42978</v>
      </c>
      <c r="AA8" s="141">
        <f>HLOOKUP(Y8,Założenia!$I$5:$U$11,7,0)</f>
        <v>0</v>
      </c>
      <c r="AB8" s="143">
        <f t="shared" si="14"/>
        <v>29956</v>
      </c>
      <c r="AC8" s="118">
        <f t="shared" si="5"/>
        <v>210174</v>
      </c>
      <c r="AD8" s="118">
        <f t="shared" si="6"/>
        <v>11470</v>
      </c>
      <c r="AE8" s="118">
        <f t="shared" si="7"/>
        <v>221644</v>
      </c>
      <c r="AF8" s="118">
        <f t="shared" si="8"/>
        <v>9047153.0399999991</v>
      </c>
    </row>
    <row r="9" spans="1:32">
      <c r="A9" s="139">
        <v>4</v>
      </c>
      <c r="B9" s="118">
        <f>J8+Założenia_kredyty!D20</f>
        <v>9280345.0399999991</v>
      </c>
      <c r="C9" s="115">
        <f t="shared" si="0"/>
        <v>2017</v>
      </c>
      <c r="D9" s="142">
        <f>EOMONTH(Założenia_kredyty!$D$5,A9)</f>
        <v>43008</v>
      </c>
      <c r="E9" s="141">
        <f>HLOOKUP(C9,Założenia!$I$5:$U$11,6,0)+Założenia_kredyty!$D$11</f>
        <v>3.8100000000000002E-2</v>
      </c>
      <c r="F9" s="143">
        <f t="shared" si="9"/>
        <v>17890</v>
      </c>
      <c r="G9" s="118">
        <f>IF(D9&gt;=Założenia_kredyty!$D$6,IF(B9&gt;=Założenia_kredyty!$D$7,Założenia_kredyty!$D$7,B9),0)</f>
        <v>0</v>
      </c>
      <c r="H9" s="118">
        <f>IF(Założenia_kredyty!$D$9="TAK",IF(D9=Założenia_kredyty!$D$6,SUM(Obliczenia_kredyty!F$5:F9),IF(D9&lt;Założenia_kredyty!$D$6,0,F9)),F9)</f>
        <v>0</v>
      </c>
      <c r="I9" s="118">
        <f t="shared" si="10"/>
        <v>0</v>
      </c>
      <c r="J9" s="118">
        <f t="shared" si="1"/>
        <v>9280345.0399999991</v>
      </c>
      <c r="L9" s="139">
        <v>4</v>
      </c>
      <c r="M9" s="118">
        <f>U8+Założenia_kredyty!I20</f>
        <v>6276008</v>
      </c>
      <c r="N9" s="115">
        <f t="shared" si="2"/>
        <v>2017</v>
      </c>
      <c r="O9" s="142">
        <f>EOMONTH(Założenia_kredyty!$D$5,L9)</f>
        <v>43008</v>
      </c>
      <c r="P9" s="141">
        <f>HLOOKUP(N9,Założenia!$I$5:$U$11,6,0)+Założenia_kredyty!$H$11</f>
        <v>3.8100000000000002E-2</v>
      </c>
      <c r="Q9" s="143">
        <f t="shared" si="11"/>
        <v>10441</v>
      </c>
      <c r="R9" s="118">
        <f>Założenia_kredyty!J20</f>
        <v>3334308</v>
      </c>
      <c r="S9" s="118">
        <f>IF(Założenia_kredyty!$H$9="TAK",IF(O9=Założenia_kredyty!$H$6,SUM(Obliczenia_kredyty!Q$5:Q9),IF(O9&lt;Założenia_kredyty!$H$6,0,Q9)),Q9)</f>
        <v>10441</v>
      </c>
      <c r="T9" s="118">
        <f t="shared" si="12"/>
        <v>3344749</v>
      </c>
      <c r="U9" s="118">
        <f t="shared" si="3"/>
        <v>2941700</v>
      </c>
      <c r="W9" s="139">
        <v>4</v>
      </c>
      <c r="X9" s="118">
        <f t="shared" si="13"/>
        <v>15556353.039999999</v>
      </c>
      <c r="Y9" s="115">
        <f t="shared" si="4"/>
        <v>2017</v>
      </c>
      <c r="Z9" s="142">
        <f>EOMONTH(Założenia_kredyty!$D$5,W9)</f>
        <v>43008</v>
      </c>
      <c r="AA9" s="141">
        <f>HLOOKUP(Y9,Założenia!$I$5:$U$11,7,0)</f>
        <v>0</v>
      </c>
      <c r="AB9" s="143">
        <f t="shared" si="14"/>
        <v>28331</v>
      </c>
      <c r="AC9" s="118">
        <f t="shared" si="5"/>
        <v>3334308</v>
      </c>
      <c r="AD9" s="118">
        <f t="shared" si="6"/>
        <v>10441</v>
      </c>
      <c r="AE9" s="118">
        <f t="shared" si="7"/>
        <v>3344749</v>
      </c>
      <c r="AF9" s="118">
        <f t="shared" si="8"/>
        <v>12222045.039999999</v>
      </c>
    </row>
    <row r="10" spans="1:32">
      <c r="A10" s="139">
        <v>5</v>
      </c>
      <c r="B10" s="118">
        <f>J9+Założenia_kredyty!D21</f>
        <v>10757845.039999999</v>
      </c>
      <c r="C10" s="115">
        <f t="shared" si="0"/>
        <v>2017</v>
      </c>
      <c r="D10" s="142">
        <f>EOMONTH(Założenia_kredyty!$D$5,A10)</f>
        <v>43039</v>
      </c>
      <c r="E10" s="141">
        <f>HLOOKUP(C10,Założenia!$I$5:$U$11,6,0)+Założenia_kredyty!$D$11</f>
        <v>3.8100000000000002E-2</v>
      </c>
      <c r="F10" s="143">
        <f t="shared" si="9"/>
        <v>30030</v>
      </c>
      <c r="G10" s="118">
        <f>IF(D10&gt;=Założenia_kredyty!$D$6,IF(B10&gt;=Założenia_kredyty!$D$7,Założenia_kredyty!$D$7,B10),0)</f>
        <v>0</v>
      </c>
      <c r="H10" s="118">
        <f>IF(Założenia_kredyty!$D$9="TAK",IF(D10=Założenia_kredyty!$D$6,SUM(Obliczenia_kredyty!F$5:F10),IF(D10&lt;Założenia_kredyty!$D$6,0,F10)),F10)</f>
        <v>0</v>
      </c>
      <c r="I10" s="118">
        <f t="shared" si="10"/>
        <v>0</v>
      </c>
      <c r="J10" s="118">
        <f t="shared" si="1"/>
        <v>10757845.039999999</v>
      </c>
      <c r="L10" s="139">
        <v>5</v>
      </c>
      <c r="M10" s="118">
        <f>U9+Założenia_kredyty!I21</f>
        <v>4659800</v>
      </c>
      <c r="N10" s="115">
        <f t="shared" si="2"/>
        <v>2017</v>
      </c>
      <c r="O10" s="142">
        <f>EOMONTH(Założenia_kredyty!$D$5,L10)</f>
        <v>43039</v>
      </c>
      <c r="P10" s="141">
        <f>HLOOKUP(N10,Założenia!$I$5:$U$11,6,0)+Założenia_kredyty!$H$11</f>
        <v>3.8100000000000002E-2</v>
      </c>
      <c r="Q10" s="143">
        <f t="shared" si="11"/>
        <v>9519</v>
      </c>
      <c r="R10" s="118">
        <f>Założenia_kredyty!J21</f>
        <v>0</v>
      </c>
      <c r="S10" s="118">
        <f>IF(Założenia_kredyty!$H$9="TAK",IF(O10=Założenia_kredyty!$H$6,SUM(Obliczenia_kredyty!Q$5:Q10),IF(O10&lt;Założenia_kredyty!$H$6,0,Q10)),Q10)</f>
        <v>9519</v>
      </c>
      <c r="T10" s="118">
        <f t="shared" si="12"/>
        <v>9519</v>
      </c>
      <c r="U10" s="118">
        <f t="shared" si="3"/>
        <v>4659800</v>
      </c>
      <c r="W10" s="139">
        <v>5</v>
      </c>
      <c r="X10" s="118">
        <f t="shared" si="13"/>
        <v>15417645.039999999</v>
      </c>
      <c r="Y10" s="115">
        <f t="shared" si="4"/>
        <v>2017</v>
      </c>
      <c r="Z10" s="142">
        <f>EOMONTH(Założenia_kredyty!$D$5,W10)</f>
        <v>43039</v>
      </c>
      <c r="AA10" s="141">
        <f>HLOOKUP(Y10,Założenia!$I$5:$U$11,7,0)</f>
        <v>0</v>
      </c>
      <c r="AB10" s="143">
        <f t="shared" si="14"/>
        <v>39549</v>
      </c>
      <c r="AC10" s="118">
        <f t="shared" si="5"/>
        <v>0</v>
      </c>
      <c r="AD10" s="118">
        <f t="shared" si="6"/>
        <v>9519</v>
      </c>
      <c r="AE10" s="118">
        <f t="shared" si="7"/>
        <v>9519</v>
      </c>
      <c r="AF10" s="118">
        <f t="shared" si="8"/>
        <v>15417645.039999999</v>
      </c>
    </row>
    <row r="11" spans="1:32">
      <c r="A11" s="139">
        <v>6</v>
      </c>
      <c r="B11" s="118">
        <f>J10+Założenia_kredyty!D22</f>
        <v>13712845.039999999</v>
      </c>
      <c r="C11" s="115">
        <f t="shared" si="0"/>
        <v>2017</v>
      </c>
      <c r="D11" s="142">
        <f>EOMONTH(Założenia_kredyty!$D$5,A11)</f>
        <v>43069</v>
      </c>
      <c r="E11" s="141">
        <f>HLOOKUP(C11,Założenia!$I$5:$U$11,6,0)+Założenia_kredyty!$D$11</f>
        <v>3.8100000000000002E-2</v>
      </c>
      <c r="F11" s="143">
        <f t="shared" si="9"/>
        <v>33688</v>
      </c>
      <c r="G11" s="118">
        <f>IF(D11&gt;=Założenia_kredyty!$D$6,IF(B11&gt;=Założenia_kredyty!$D$7,Założenia_kredyty!$D$7,B11),0)</f>
        <v>0</v>
      </c>
      <c r="H11" s="118">
        <f>IF(Założenia_kredyty!$D$9="TAK",IF(D11=Założenia_kredyty!$D$6,SUM(Obliczenia_kredyty!F$5:F11),IF(D11&lt;Założenia_kredyty!$D$6,0,F11)),F11)</f>
        <v>0</v>
      </c>
      <c r="I11" s="118">
        <f t="shared" si="10"/>
        <v>0</v>
      </c>
      <c r="J11" s="118">
        <f t="shared" si="1"/>
        <v>13712845.039999999</v>
      </c>
      <c r="L11" s="139">
        <v>6</v>
      </c>
      <c r="M11" s="118">
        <f>U10+Założenia_kredyty!I22</f>
        <v>8096000</v>
      </c>
      <c r="N11" s="115">
        <f t="shared" si="2"/>
        <v>2017</v>
      </c>
      <c r="O11" s="142">
        <f>EOMONTH(Założenia_kredyty!$D$5,L11)</f>
        <v>43069</v>
      </c>
      <c r="P11" s="141">
        <f>HLOOKUP(N11,Założenia!$I$5:$U$11,6,0)+Założenia_kredyty!$H$11</f>
        <v>3.8100000000000002E-2</v>
      </c>
      <c r="Q11" s="143">
        <f t="shared" si="11"/>
        <v>14592</v>
      </c>
      <c r="R11" s="118">
        <f>Założenia_kredyty!J22</f>
        <v>2941700</v>
      </c>
      <c r="S11" s="118">
        <f>IF(Założenia_kredyty!$H$9="TAK",IF(O11=Założenia_kredyty!$H$6,SUM(Obliczenia_kredyty!Q$5:Q11),IF(O11&lt;Założenia_kredyty!$H$6,0,Q11)),Q11)</f>
        <v>14592</v>
      </c>
      <c r="T11" s="118">
        <f t="shared" si="12"/>
        <v>2956292</v>
      </c>
      <c r="U11" s="118">
        <f t="shared" si="3"/>
        <v>5154300</v>
      </c>
      <c r="W11" s="139">
        <v>6</v>
      </c>
      <c r="X11" s="118">
        <f t="shared" si="13"/>
        <v>21808845.039999999</v>
      </c>
      <c r="Y11" s="115">
        <f t="shared" si="4"/>
        <v>2017</v>
      </c>
      <c r="Z11" s="142">
        <f>EOMONTH(Założenia_kredyty!$D$5,W11)</f>
        <v>43069</v>
      </c>
      <c r="AA11" s="141">
        <f>HLOOKUP(Y11,Założenia!$I$5:$U$11,7,0)</f>
        <v>0</v>
      </c>
      <c r="AB11" s="143">
        <f t="shared" si="14"/>
        <v>48280</v>
      </c>
      <c r="AC11" s="118">
        <f t="shared" si="5"/>
        <v>2941700</v>
      </c>
      <c r="AD11" s="118">
        <f t="shared" si="6"/>
        <v>14592</v>
      </c>
      <c r="AE11" s="118">
        <f t="shared" si="7"/>
        <v>2956292</v>
      </c>
      <c r="AF11" s="118">
        <f t="shared" si="8"/>
        <v>18867145.039999999</v>
      </c>
    </row>
    <row r="12" spans="1:32">
      <c r="A12" s="139">
        <v>7</v>
      </c>
      <c r="B12" s="118">
        <f>J11+Założenia_kredyty!D23</f>
        <v>16055845.039999999</v>
      </c>
      <c r="C12" s="115">
        <f t="shared" si="0"/>
        <v>2017</v>
      </c>
      <c r="D12" s="142">
        <f>EOMONTH(Założenia_kredyty!$D$5,A12)</f>
        <v>43100</v>
      </c>
      <c r="E12" s="141">
        <f>HLOOKUP(C12,Założenia!$I$5:$U$11,6,0)+Założenia_kredyty!$D$11</f>
        <v>3.8100000000000002E-2</v>
      </c>
      <c r="F12" s="143">
        <f t="shared" si="9"/>
        <v>44373</v>
      </c>
      <c r="G12" s="118">
        <f>IF(D12&gt;=Założenia_kredyty!$D$6,IF(B12&gt;=Założenia_kredyty!$D$7,Założenia_kredyty!$D$7,B12),0)</f>
        <v>0</v>
      </c>
      <c r="H12" s="118">
        <f>IF(Założenia_kredyty!$D$9="TAK",IF(D12=Założenia_kredyty!$D$6,SUM(Obliczenia_kredyty!F$5:F12),IF(D12&lt;Założenia_kredyty!$D$6,0,F12)),F12)</f>
        <v>0</v>
      </c>
      <c r="I12" s="118">
        <f t="shared" si="10"/>
        <v>0</v>
      </c>
      <c r="J12" s="118">
        <f t="shared" si="1"/>
        <v>16055845.039999999</v>
      </c>
      <c r="L12" s="139">
        <v>7</v>
      </c>
      <c r="M12" s="118">
        <f>U11+Założenia_kredyty!I23</f>
        <v>5570025</v>
      </c>
      <c r="N12" s="115">
        <f t="shared" si="2"/>
        <v>2017</v>
      </c>
      <c r="O12" s="142">
        <f>EOMONTH(Założenia_kredyty!$D$5,L12)</f>
        <v>43100</v>
      </c>
      <c r="P12" s="141">
        <f>HLOOKUP(N12,Założenia!$I$5:$U$11,6,0)+Założenia_kredyty!$H$11</f>
        <v>3.8100000000000002E-2</v>
      </c>
      <c r="Q12" s="143">
        <f t="shared" si="11"/>
        <v>16679</v>
      </c>
      <c r="R12" s="118">
        <f>Założenia_kredyty!J23</f>
        <v>1718100</v>
      </c>
      <c r="S12" s="118">
        <f>IF(Założenia_kredyty!$H$9="TAK",IF(O12=Założenia_kredyty!$H$6,SUM(Obliczenia_kredyty!Q$5:Q12),IF(O12&lt;Założenia_kredyty!$H$6,0,Q12)),Q12)</f>
        <v>16679</v>
      </c>
      <c r="T12" s="118">
        <f t="shared" si="12"/>
        <v>1734779</v>
      </c>
      <c r="U12" s="118">
        <f t="shared" si="3"/>
        <v>3851925</v>
      </c>
      <c r="W12" s="139">
        <v>7</v>
      </c>
      <c r="X12" s="118">
        <f t="shared" si="13"/>
        <v>21625870.039999999</v>
      </c>
      <c r="Y12" s="115">
        <f t="shared" si="4"/>
        <v>2017</v>
      </c>
      <c r="Z12" s="142">
        <f>EOMONTH(Założenia_kredyty!$D$5,W12)</f>
        <v>43100</v>
      </c>
      <c r="AA12" s="141">
        <f>HLOOKUP(Y12,Założenia!$I$5:$U$11,7,0)</f>
        <v>0</v>
      </c>
      <c r="AB12" s="143">
        <f t="shared" si="14"/>
        <v>61052</v>
      </c>
      <c r="AC12" s="118">
        <f t="shared" si="5"/>
        <v>1718100</v>
      </c>
      <c r="AD12" s="118">
        <f t="shared" si="6"/>
        <v>16679</v>
      </c>
      <c r="AE12" s="118">
        <f t="shared" si="7"/>
        <v>1734779</v>
      </c>
      <c r="AF12" s="118">
        <f t="shared" si="8"/>
        <v>19907770.039999999</v>
      </c>
    </row>
    <row r="13" spans="1:32">
      <c r="A13" s="139">
        <v>8</v>
      </c>
      <c r="B13" s="118">
        <f>J12+Założenia_kredyty!D24</f>
        <v>16055845.039999999</v>
      </c>
      <c r="C13" s="115">
        <f t="shared" si="0"/>
        <v>2018</v>
      </c>
      <c r="D13" s="142">
        <f>EOMONTH(Założenia_kredyty!$D$5,A13)</f>
        <v>43131</v>
      </c>
      <c r="E13" s="141">
        <f>HLOOKUP(C13,Założenia!$I$5:$U$11,6,0)+Założenia_kredyty!$D$11</f>
        <v>3.8100000000000002E-2</v>
      </c>
      <c r="F13" s="143">
        <f t="shared" si="9"/>
        <v>51955</v>
      </c>
      <c r="G13" s="118">
        <f>IF(D13&gt;=Założenia_kredyty!$D$6,IF(B13&gt;=Założenia_kredyty!$D$7,Założenia_kredyty!$D$7,B13),0)</f>
        <v>133798.71</v>
      </c>
      <c r="H13" s="118">
        <f>IF(Założenia_kredyty!$D$9="TAK",IF(D13=Założenia_kredyty!$D$6,SUM(Obliczenia_kredyty!F$5:F13),IF(D13&lt;Założenia_kredyty!$D$6,0,F13)),F13)</f>
        <v>200722</v>
      </c>
      <c r="I13" s="118">
        <f t="shared" si="10"/>
        <v>334520.70999999996</v>
      </c>
      <c r="J13" s="118">
        <f t="shared" si="1"/>
        <v>15922046.329999998</v>
      </c>
      <c r="L13" s="139">
        <v>8</v>
      </c>
      <c r="M13" s="118">
        <f>U12+Założenia_kredyty!I24</f>
        <v>3851925</v>
      </c>
      <c r="N13" s="115">
        <f t="shared" si="2"/>
        <v>2018</v>
      </c>
      <c r="O13" s="142">
        <f>EOMONTH(Założenia_kredyty!$D$5,L13)</f>
        <v>43131</v>
      </c>
      <c r="P13" s="141">
        <f>HLOOKUP(N13,Założenia!$I$5:$U$11,6,0)+Założenia_kredyty!$H$11</f>
        <v>3.8100000000000002E-2</v>
      </c>
      <c r="Q13" s="143">
        <f t="shared" si="11"/>
        <v>12464</v>
      </c>
      <c r="R13" s="118">
        <f>Założenia_kredyty!J24</f>
        <v>3436200</v>
      </c>
      <c r="S13" s="118">
        <f>IF(Założenia_kredyty!$H$9="TAK",IF(O13=Założenia_kredyty!$H$6,SUM(Obliczenia_kredyty!Q$5:Q13),IF(O13&lt;Założenia_kredyty!$H$6,0,Q13)),Q13)</f>
        <v>12464</v>
      </c>
      <c r="T13" s="118">
        <f t="shared" si="12"/>
        <v>3448664</v>
      </c>
      <c r="U13" s="118">
        <f t="shared" si="3"/>
        <v>415725</v>
      </c>
      <c r="W13" s="139">
        <v>8</v>
      </c>
      <c r="X13" s="118">
        <f t="shared" si="13"/>
        <v>19907770.039999999</v>
      </c>
      <c r="Y13" s="115">
        <f t="shared" si="4"/>
        <v>2018</v>
      </c>
      <c r="Z13" s="142">
        <f>EOMONTH(Założenia_kredyty!$D$5,W13)</f>
        <v>43131</v>
      </c>
      <c r="AA13" s="141">
        <f>HLOOKUP(Y13,Założenia!$I$5:$U$11,7,0)</f>
        <v>0</v>
      </c>
      <c r="AB13" s="143">
        <f t="shared" si="14"/>
        <v>64419</v>
      </c>
      <c r="AC13" s="118">
        <f t="shared" si="5"/>
        <v>3569998.71</v>
      </c>
      <c r="AD13" s="118">
        <f t="shared" si="6"/>
        <v>213186</v>
      </c>
      <c r="AE13" s="118">
        <f t="shared" si="7"/>
        <v>3783184.71</v>
      </c>
      <c r="AF13" s="118">
        <f t="shared" si="8"/>
        <v>16337771.329999998</v>
      </c>
    </row>
    <row r="14" spans="1:32">
      <c r="A14" s="139">
        <v>9</v>
      </c>
      <c r="B14" s="118">
        <f>J13+Założenia_kredyty!D25</f>
        <v>15922046.329999998</v>
      </c>
      <c r="C14" s="115">
        <f t="shared" si="0"/>
        <v>2018</v>
      </c>
      <c r="D14" s="142">
        <f>EOMONTH(Założenia_kredyty!$D$5,A14)</f>
        <v>43159</v>
      </c>
      <c r="E14" s="141">
        <f>HLOOKUP(C14,Założenia!$I$5:$U$11,6,0)+Założenia_kredyty!$D$11</f>
        <v>3.8100000000000002E-2</v>
      </c>
      <c r="F14" s="143">
        <f t="shared" si="9"/>
        <v>46536</v>
      </c>
      <c r="G14" s="118">
        <f>IF(D14&gt;=Założenia_kredyty!$D$6,IF(B14&gt;=Założenia_kredyty!$D$7,Założenia_kredyty!$D$7,B14),0)</f>
        <v>133798.71</v>
      </c>
      <c r="H14" s="118">
        <f>IF(Założenia_kredyty!$D$9="TAK",IF(D14=Założenia_kredyty!$D$6,SUM(Obliczenia_kredyty!F$5:F14),IF(D14&lt;Założenia_kredyty!$D$6,0,F14)),F14)</f>
        <v>46536</v>
      </c>
      <c r="I14" s="118">
        <f t="shared" si="10"/>
        <v>180334.71</v>
      </c>
      <c r="J14" s="118">
        <f t="shared" si="1"/>
        <v>15788247.619999997</v>
      </c>
      <c r="L14" s="139">
        <v>9</v>
      </c>
      <c r="M14" s="118">
        <f>U13+Założenia_kredyty!I25</f>
        <v>415725</v>
      </c>
      <c r="N14" s="115">
        <f t="shared" si="2"/>
        <v>2018</v>
      </c>
      <c r="O14" s="142">
        <f>EOMONTH(Założenia_kredyty!$D$5,L14)</f>
        <v>43159</v>
      </c>
      <c r="P14" s="141">
        <f>HLOOKUP(N14,Założenia!$I$5:$U$11,6,0)+Założenia_kredyty!$H$11</f>
        <v>3.8100000000000002E-2</v>
      </c>
      <c r="Q14" s="143">
        <f t="shared" si="11"/>
        <v>1215</v>
      </c>
      <c r="R14" s="118">
        <f>Założenia_kredyty!J25</f>
        <v>415725</v>
      </c>
      <c r="S14" s="118">
        <f>IF(Założenia_kredyty!$H$9="TAK",IF(O14=Założenia_kredyty!$H$6,SUM(Obliczenia_kredyty!Q$5:Q14),IF(O14&lt;Założenia_kredyty!$H$6,0,Q14)),Q14)</f>
        <v>1215</v>
      </c>
      <c r="T14" s="118">
        <f t="shared" si="12"/>
        <v>416940</v>
      </c>
      <c r="U14" s="118">
        <f t="shared" si="3"/>
        <v>0</v>
      </c>
      <c r="W14" s="139">
        <v>9</v>
      </c>
      <c r="X14" s="118">
        <f t="shared" si="13"/>
        <v>16337771.329999998</v>
      </c>
      <c r="Y14" s="115">
        <f t="shared" si="4"/>
        <v>2018</v>
      </c>
      <c r="Z14" s="142">
        <f>EOMONTH(Założenia_kredyty!$D$5,W14)</f>
        <v>43159</v>
      </c>
      <c r="AA14" s="141">
        <f>HLOOKUP(Y14,Założenia!$I$5:$U$11,7,0)</f>
        <v>0</v>
      </c>
      <c r="AB14" s="143">
        <f t="shared" si="14"/>
        <v>47751</v>
      </c>
      <c r="AC14" s="118">
        <f t="shared" si="5"/>
        <v>549523.71</v>
      </c>
      <c r="AD14" s="118">
        <f t="shared" si="6"/>
        <v>47751</v>
      </c>
      <c r="AE14" s="118">
        <f t="shared" si="7"/>
        <v>597274.71</v>
      </c>
      <c r="AF14" s="118">
        <f t="shared" si="8"/>
        <v>15788247.619999997</v>
      </c>
    </row>
    <row r="15" spans="1:32">
      <c r="A15" s="139">
        <v>10</v>
      </c>
      <c r="B15" s="118">
        <f>J14+Założenia_kredyty!D26</f>
        <v>15788247.619999997</v>
      </c>
      <c r="C15" s="115">
        <f t="shared" si="0"/>
        <v>2018</v>
      </c>
      <c r="D15" s="142">
        <f>EOMONTH(Założenia_kredyty!$D$5,A15)</f>
        <v>43190</v>
      </c>
      <c r="E15" s="141">
        <f>HLOOKUP(C15,Założenia!$I$5:$U$11,6,0)+Założenia_kredyty!$D$11</f>
        <v>3.8100000000000002E-2</v>
      </c>
      <c r="F15" s="143">
        <f t="shared" si="9"/>
        <v>51089</v>
      </c>
      <c r="G15" s="118">
        <f>IF(D15&gt;=Założenia_kredyty!$D$6,IF(B15&gt;=Założenia_kredyty!$D$7,Założenia_kredyty!$D$7,B15),0)</f>
        <v>133798.71</v>
      </c>
      <c r="H15" s="118">
        <f>IF(Założenia_kredyty!$D$9="TAK",IF(D15=Założenia_kredyty!$D$6,SUM(Obliczenia_kredyty!F$5:F15),IF(D15&lt;Założenia_kredyty!$D$6,0,F15)),F15)</f>
        <v>51089</v>
      </c>
      <c r="I15" s="118">
        <f t="shared" si="10"/>
        <v>184887.71</v>
      </c>
      <c r="J15" s="118">
        <f t="shared" si="1"/>
        <v>15654448.909999996</v>
      </c>
      <c r="L15"/>
      <c r="M15"/>
      <c r="N15"/>
      <c r="O15"/>
      <c r="P15"/>
      <c r="Q15"/>
      <c r="R15"/>
      <c r="S15"/>
      <c r="T15"/>
      <c r="U15"/>
      <c r="W15" s="139">
        <v>10</v>
      </c>
      <c r="X15" s="118">
        <f t="shared" si="13"/>
        <v>15788247.619999997</v>
      </c>
      <c r="Y15" s="115">
        <f t="shared" ref="Y15:Y78" si="15">YEAR(Z15)</f>
        <v>2018</v>
      </c>
      <c r="Z15" s="142">
        <f>EOMONTH(Założenia_kredyty!$D$5,W15)</f>
        <v>43190</v>
      </c>
      <c r="AA15" s="141">
        <f>HLOOKUP(Y15,Założenia!$I$5:$U$11,7,0)</f>
        <v>0</v>
      </c>
      <c r="AB15" s="143">
        <f t="shared" si="14"/>
        <v>51089</v>
      </c>
      <c r="AC15" s="118">
        <f t="shared" si="5"/>
        <v>133798.71</v>
      </c>
      <c r="AD15" s="118">
        <f t="shared" si="6"/>
        <v>51089</v>
      </c>
      <c r="AE15" s="118">
        <f t="shared" si="7"/>
        <v>184887.71</v>
      </c>
      <c r="AF15" s="118">
        <f t="shared" si="8"/>
        <v>15654448.909999996</v>
      </c>
    </row>
    <row r="16" spans="1:32">
      <c r="A16" s="139">
        <v>11</v>
      </c>
      <c r="B16" s="118">
        <f>J15+Założenia_kredyty!D27</f>
        <v>15654448.909999996</v>
      </c>
      <c r="C16" s="115">
        <f t="shared" si="0"/>
        <v>2018</v>
      </c>
      <c r="D16" s="142">
        <f>EOMONTH(Założenia_kredyty!$D$5,A16)</f>
        <v>43220</v>
      </c>
      <c r="E16" s="141">
        <f>HLOOKUP(C16,Założenia!$I$5:$U$11,6,0)+Założenia_kredyty!$D$11</f>
        <v>3.8100000000000002E-2</v>
      </c>
      <c r="F16" s="143">
        <f t="shared" si="9"/>
        <v>49022</v>
      </c>
      <c r="G16" s="118">
        <f>IF(D16&gt;=Założenia_kredyty!$D$6,IF(B16&gt;=Założenia_kredyty!$D$7,Założenia_kredyty!$D$7,B16),0)</f>
        <v>133798.71</v>
      </c>
      <c r="H16" s="118">
        <f>IF(Założenia_kredyty!$D$9="TAK",IF(D16=Założenia_kredyty!$D$6,SUM(Obliczenia_kredyty!F$5:F16),IF(D16&lt;Założenia_kredyty!$D$6,0,F16)),F16)</f>
        <v>49022</v>
      </c>
      <c r="I16" s="118">
        <f t="shared" si="10"/>
        <v>182820.71</v>
      </c>
      <c r="J16" s="118">
        <f t="shared" si="1"/>
        <v>15520650.199999996</v>
      </c>
      <c r="L16"/>
      <c r="M16"/>
      <c r="N16"/>
      <c r="O16"/>
      <c r="P16"/>
      <c r="Q16"/>
      <c r="R16"/>
      <c r="S16"/>
      <c r="T16"/>
      <c r="U16"/>
      <c r="W16" s="139">
        <v>11</v>
      </c>
      <c r="X16" s="118">
        <f t="shared" si="13"/>
        <v>15654448.909999996</v>
      </c>
      <c r="Y16" s="115">
        <f t="shared" si="15"/>
        <v>2018</v>
      </c>
      <c r="Z16" s="142">
        <f>EOMONTH(Założenia_kredyty!$D$5,W16)</f>
        <v>43220</v>
      </c>
      <c r="AA16" s="141">
        <f>HLOOKUP(Y16,Założenia!$I$5:$U$11,7,0)</f>
        <v>0</v>
      </c>
      <c r="AB16" s="143">
        <f t="shared" si="14"/>
        <v>49022</v>
      </c>
      <c r="AC16" s="118">
        <f t="shared" si="5"/>
        <v>133798.71</v>
      </c>
      <c r="AD16" s="118">
        <f t="shared" si="6"/>
        <v>49022</v>
      </c>
      <c r="AE16" s="118">
        <f t="shared" si="7"/>
        <v>182820.71</v>
      </c>
      <c r="AF16" s="118">
        <f t="shared" si="8"/>
        <v>15520650.199999996</v>
      </c>
    </row>
    <row r="17" spans="1:32">
      <c r="A17" s="139">
        <v>12</v>
      </c>
      <c r="B17" s="118">
        <f>J16+Założenia_kredyty!D28</f>
        <v>15520650.199999996</v>
      </c>
      <c r="C17" s="115">
        <f t="shared" si="0"/>
        <v>2018</v>
      </c>
      <c r="D17" s="142">
        <f>EOMONTH(Założenia_kredyty!$D$5,A17)</f>
        <v>43251</v>
      </c>
      <c r="E17" s="141">
        <f>HLOOKUP(C17,Założenia!$I$5:$U$11,6,0)+Założenia_kredyty!$D$11</f>
        <v>3.8100000000000002E-2</v>
      </c>
      <c r="F17" s="143">
        <f t="shared" si="9"/>
        <v>50223</v>
      </c>
      <c r="G17" s="118">
        <f>IF(D17&gt;=Założenia_kredyty!$D$6,IF(B17&gt;=Założenia_kredyty!$D$7,Założenia_kredyty!$D$7,B17),0)</f>
        <v>133798.71</v>
      </c>
      <c r="H17" s="118">
        <f>IF(Założenia_kredyty!$D$9="TAK",IF(D17=Założenia_kredyty!$D$6,SUM(Obliczenia_kredyty!F$5:F17),IF(D17&lt;Założenia_kredyty!$D$6,0,F17)),F17)</f>
        <v>50223</v>
      </c>
      <c r="I17" s="118">
        <f t="shared" si="10"/>
        <v>184021.71</v>
      </c>
      <c r="J17" s="118">
        <f t="shared" si="1"/>
        <v>15386851.489999995</v>
      </c>
      <c r="L17"/>
      <c r="M17"/>
      <c r="N17"/>
      <c r="O17"/>
      <c r="P17"/>
      <c r="Q17"/>
      <c r="R17"/>
      <c r="S17"/>
      <c r="T17"/>
      <c r="U17"/>
      <c r="W17" s="139">
        <v>12</v>
      </c>
      <c r="X17" s="118">
        <f t="shared" si="13"/>
        <v>15520650.199999996</v>
      </c>
      <c r="Y17" s="115">
        <f t="shared" si="15"/>
        <v>2018</v>
      </c>
      <c r="Z17" s="142">
        <f>EOMONTH(Założenia_kredyty!$D$5,W17)</f>
        <v>43251</v>
      </c>
      <c r="AA17" s="141">
        <f>HLOOKUP(Y17,Założenia!$I$5:$U$11,7,0)</f>
        <v>0</v>
      </c>
      <c r="AB17" s="143">
        <f t="shared" si="14"/>
        <v>50223</v>
      </c>
      <c r="AC17" s="118">
        <f t="shared" si="5"/>
        <v>133798.71</v>
      </c>
      <c r="AD17" s="118">
        <f t="shared" si="6"/>
        <v>50223</v>
      </c>
      <c r="AE17" s="118">
        <f t="shared" si="7"/>
        <v>184021.71</v>
      </c>
      <c r="AF17" s="118">
        <f t="shared" si="8"/>
        <v>15386851.489999995</v>
      </c>
    </row>
    <row r="18" spans="1:32">
      <c r="A18" s="139">
        <v>13</v>
      </c>
      <c r="B18" s="118">
        <f>J17+Założenia_kredyty!D29</f>
        <v>15386851.489999995</v>
      </c>
      <c r="C18" s="115">
        <f t="shared" si="0"/>
        <v>2018</v>
      </c>
      <c r="D18" s="142">
        <f>EOMONTH(Założenia_kredyty!$D$5,A18)</f>
        <v>43281</v>
      </c>
      <c r="E18" s="141">
        <f>HLOOKUP(C18,Założenia!$I$5:$U$11,6,0)+Założenia_kredyty!$D$11</f>
        <v>3.8100000000000002E-2</v>
      </c>
      <c r="F18" s="143">
        <f t="shared" si="9"/>
        <v>48184</v>
      </c>
      <c r="G18" s="118">
        <f>IF(D18&gt;=Założenia_kredyty!$D$6,IF(B18&gt;=Założenia_kredyty!$D$7,Założenia_kredyty!$D$7,B18),0)</f>
        <v>133798.71</v>
      </c>
      <c r="H18" s="118">
        <f>IF(Założenia_kredyty!$D$9="TAK",IF(D18=Założenia_kredyty!$D$6,SUM(Obliczenia_kredyty!F$5:F18),IF(D18&lt;Założenia_kredyty!$D$6,0,F18)),F18)</f>
        <v>48184</v>
      </c>
      <c r="I18" s="118">
        <f t="shared" si="10"/>
        <v>181982.71</v>
      </c>
      <c r="J18" s="118">
        <f t="shared" si="1"/>
        <v>15253052.779999994</v>
      </c>
      <c r="L18"/>
      <c r="M18"/>
      <c r="N18"/>
      <c r="O18"/>
      <c r="P18"/>
      <c r="Q18"/>
      <c r="R18"/>
      <c r="S18"/>
      <c r="T18"/>
      <c r="U18"/>
      <c r="W18" s="139">
        <v>13</v>
      </c>
      <c r="X18" s="118">
        <f t="shared" si="13"/>
        <v>15386851.489999995</v>
      </c>
      <c r="Y18" s="115">
        <f t="shared" si="15"/>
        <v>2018</v>
      </c>
      <c r="Z18" s="142">
        <f>EOMONTH(Założenia_kredyty!$D$5,W18)</f>
        <v>43281</v>
      </c>
      <c r="AA18" s="141">
        <f>HLOOKUP(Y18,Założenia!$I$5:$U$11,7,0)</f>
        <v>0</v>
      </c>
      <c r="AB18" s="143">
        <f t="shared" si="14"/>
        <v>48184</v>
      </c>
      <c r="AC18" s="118">
        <f t="shared" si="5"/>
        <v>133798.71</v>
      </c>
      <c r="AD18" s="118">
        <f t="shared" si="6"/>
        <v>48184</v>
      </c>
      <c r="AE18" s="118">
        <f t="shared" si="7"/>
        <v>181982.71</v>
      </c>
      <c r="AF18" s="118">
        <f t="shared" si="8"/>
        <v>15253052.779999994</v>
      </c>
    </row>
    <row r="19" spans="1:32">
      <c r="A19" s="139">
        <v>14</v>
      </c>
      <c r="B19" s="118">
        <f>J18+Założenia_kredyty!D30</f>
        <v>15253052.779999994</v>
      </c>
      <c r="C19" s="115">
        <f t="shared" si="0"/>
        <v>2018</v>
      </c>
      <c r="D19" s="142">
        <f>EOMONTH(Założenia_kredyty!$D$5,A19)</f>
        <v>43312</v>
      </c>
      <c r="E19" s="141">
        <f>HLOOKUP(C19,Założenia!$I$5:$U$11,6,0)+Założenia_kredyty!$D$11</f>
        <v>3.8100000000000002E-2</v>
      </c>
      <c r="F19" s="143">
        <f t="shared" si="9"/>
        <v>49357</v>
      </c>
      <c r="G19" s="118">
        <f>IF(D19&gt;=Założenia_kredyty!$D$6,IF(B19&gt;=Założenia_kredyty!$D$7,Założenia_kredyty!$D$7,B19),0)</f>
        <v>133798.71</v>
      </c>
      <c r="H19" s="118">
        <f>IF(Założenia_kredyty!$D$9="TAK",IF(D19=Założenia_kredyty!$D$6,SUM(Obliczenia_kredyty!F$5:F19),IF(D19&lt;Założenia_kredyty!$D$6,0,F19)),F19)</f>
        <v>49357</v>
      </c>
      <c r="I19" s="118">
        <f t="shared" si="10"/>
        <v>183155.71</v>
      </c>
      <c r="J19" s="118">
        <f t="shared" si="1"/>
        <v>15119254.069999993</v>
      </c>
      <c r="L19"/>
      <c r="M19"/>
      <c r="N19"/>
      <c r="O19"/>
      <c r="P19"/>
      <c r="Q19"/>
      <c r="R19"/>
      <c r="S19"/>
      <c r="T19"/>
      <c r="U19"/>
      <c r="W19" s="139">
        <v>14</v>
      </c>
      <c r="X19" s="118">
        <f t="shared" si="13"/>
        <v>15253052.779999994</v>
      </c>
      <c r="Y19" s="115">
        <f t="shared" si="15"/>
        <v>2018</v>
      </c>
      <c r="Z19" s="142">
        <f>EOMONTH(Założenia_kredyty!$D$5,W19)</f>
        <v>43312</v>
      </c>
      <c r="AA19" s="141">
        <f>HLOOKUP(Y19,Założenia!$I$5:$U$11,7,0)</f>
        <v>0</v>
      </c>
      <c r="AB19" s="143">
        <f t="shared" si="14"/>
        <v>49357</v>
      </c>
      <c r="AC19" s="118">
        <f t="shared" si="5"/>
        <v>133798.71</v>
      </c>
      <c r="AD19" s="118">
        <f t="shared" si="6"/>
        <v>49357</v>
      </c>
      <c r="AE19" s="118">
        <f t="shared" si="7"/>
        <v>183155.71</v>
      </c>
      <c r="AF19" s="118">
        <f t="shared" si="8"/>
        <v>15119254.069999993</v>
      </c>
    </row>
    <row r="20" spans="1:32">
      <c r="A20" s="139">
        <v>15</v>
      </c>
      <c r="B20" s="118">
        <f t="shared" ref="B20:B51" si="16">J19</f>
        <v>15119254.069999993</v>
      </c>
      <c r="C20" s="115">
        <f t="shared" si="0"/>
        <v>2018</v>
      </c>
      <c r="D20" s="142">
        <f>EOMONTH(Założenia_kredyty!$D$5,A20)</f>
        <v>43343</v>
      </c>
      <c r="E20" s="141">
        <f>HLOOKUP(C20,Założenia!$I$5:$U$11,6,0)+Założenia_kredyty!$D$11</f>
        <v>3.8100000000000002E-2</v>
      </c>
      <c r="F20" s="143">
        <f t="shared" si="9"/>
        <v>48924</v>
      </c>
      <c r="G20" s="118">
        <f>IF(D20&gt;=Założenia_kredyty!$D$6,IF(B20&gt;=Założenia_kredyty!$D$7,Założenia_kredyty!$D$7,B20),0)</f>
        <v>133798.71</v>
      </c>
      <c r="H20" s="118">
        <f>IF(Założenia_kredyty!$D$9="TAK",IF(D20=Założenia_kredyty!$D$6,SUM(Obliczenia_kredyty!F$5:F20),IF(D20&lt;Założenia_kredyty!$D$6,0,F20)),F20)</f>
        <v>48924</v>
      </c>
      <c r="I20" s="118">
        <f t="shared" si="10"/>
        <v>182722.71</v>
      </c>
      <c r="J20" s="118">
        <f t="shared" si="1"/>
        <v>14985455.359999992</v>
      </c>
      <c r="L20"/>
      <c r="M20"/>
      <c r="N20"/>
      <c r="O20"/>
      <c r="P20"/>
      <c r="Q20"/>
      <c r="R20"/>
      <c r="S20"/>
      <c r="T20"/>
      <c r="U20"/>
      <c r="W20" s="139">
        <v>15</v>
      </c>
      <c r="X20" s="118">
        <f t="shared" si="13"/>
        <v>15119254.069999993</v>
      </c>
      <c r="Y20" s="115">
        <f t="shared" si="15"/>
        <v>2018</v>
      </c>
      <c r="Z20" s="142">
        <f>EOMONTH(Założenia_kredyty!$D$5,W20)</f>
        <v>43343</v>
      </c>
      <c r="AA20" s="141">
        <f>HLOOKUP(Y20,Założenia!$I$5:$U$11,7,0)</f>
        <v>0</v>
      </c>
      <c r="AB20" s="143">
        <f t="shared" si="14"/>
        <v>48924</v>
      </c>
      <c r="AC20" s="118">
        <f t="shared" si="5"/>
        <v>133798.71</v>
      </c>
      <c r="AD20" s="118">
        <f t="shared" si="6"/>
        <v>48924</v>
      </c>
      <c r="AE20" s="118">
        <f t="shared" si="7"/>
        <v>182722.71</v>
      </c>
      <c r="AF20" s="118">
        <f t="shared" si="8"/>
        <v>14985455.359999992</v>
      </c>
    </row>
    <row r="21" spans="1:32">
      <c r="A21" s="139">
        <v>16</v>
      </c>
      <c r="B21" s="118">
        <f t="shared" si="16"/>
        <v>14985455.359999992</v>
      </c>
      <c r="C21" s="115">
        <f t="shared" si="0"/>
        <v>2018</v>
      </c>
      <c r="D21" s="142">
        <f>EOMONTH(Założenia_kredyty!$D$5,A21)</f>
        <v>43373</v>
      </c>
      <c r="E21" s="141">
        <f>HLOOKUP(C21,Założenia!$I$5:$U$11,6,0)+Założenia_kredyty!$D$11</f>
        <v>3.8100000000000002E-2</v>
      </c>
      <c r="F21" s="143">
        <f t="shared" si="9"/>
        <v>46927</v>
      </c>
      <c r="G21" s="118">
        <f>IF(D21&gt;=Założenia_kredyty!$D$6,IF(B21&gt;=Założenia_kredyty!$D$7,Założenia_kredyty!$D$7,B21),0)</f>
        <v>133798.71</v>
      </c>
      <c r="H21" s="118">
        <f>IF(Założenia_kredyty!$D$9="TAK",IF(D21=Założenia_kredyty!$D$6,SUM(Obliczenia_kredyty!F$5:F21),IF(D21&lt;Założenia_kredyty!$D$6,0,F21)),F21)</f>
        <v>46927</v>
      </c>
      <c r="I21" s="118">
        <f t="shared" si="10"/>
        <v>180725.71</v>
      </c>
      <c r="J21" s="118">
        <f t="shared" si="1"/>
        <v>14851656.649999991</v>
      </c>
      <c r="L21"/>
      <c r="M21"/>
      <c r="N21"/>
      <c r="O21"/>
      <c r="P21"/>
      <c r="Q21"/>
      <c r="R21"/>
      <c r="S21"/>
      <c r="T21"/>
      <c r="U21"/>
      <c r="W21" s="139">
        <v>16</v>
      </c>
      <c r="X21" s="118">
        <f t="shared" si="13"/>
        <v>14985455.359999992</v>
      </c>
      <c r="Y21" s="115">
        <f t="shared" si="15"/>
        <v>2018</v>
      </c>
      <c r="Z21" s="142">
        <f>EOMONTH(Założenia_kredyty!$D$5,W21)</f>
        <v>43373</v>
      </c>
      <c r="AA21" s="141">
        <f>HLOOKUP(Y21,Założenia!$I$5:$U$11,7,0)</f>
        <v>0</v>
      </c>
      <c r="AB21" s="143">
        <f t="shared" si="14"/>
        <v>46927</v>
      </c>
      <c r="AC21" s="118">
        <f t="shared" si="5"/>
        <v>133798.71</v>
      </c>
      <c r="AD21" s="118">
        <f t="shared" si="6"/>
        <v>46927</v>
      </c>
      <c r="AE21" s="118">
        <f t="shared" si="7"/>
        <v>180725.71</v>
      </c>
      <c r="AF21" s="118">
        <f t="shared" si="8"/>
        <v>14851656.649999991</v>
      </c>
    </row>
    <row r="22" spans="1:32">
      <c r="A22" s="139">
        <v>17</v>
      </c>
      <c r="B22" s="118">
        <f t="shared" si="16"/>
        <v>14851656.649999991</v>
      </c>
      <c r="C22" s="115">
        <f t="shared" si="0"/>
        <v>2018</v>
      </c>
      <c r="D22" s="142">
        <f>EOMONTH(Założenia_kredyty!$D$5,A22)</f>
        <v>43404</v>
      </c>
      <c r="E22" s="141">
        <f>HLOOKUP(C22,Założenia!$I$5:$U$11,6,0)+Założenia_kredyty!$D$11</f>
        <v>3.8100000000000002E-2</v>
      </c>
      <c r="F22" s="143">
        <f t="shared" si="9"/>
        <v>48058</v>
      </c>
      <c r="G22" s="118">
        <f>IF(D22&gt;=Założenia_kredyty!$D$6,IF(B22&gt;=Założenia_kredyty!$D$7,Założenia_kredyty!$D$7,B22),0)</f>
        <v>133798.71</v>
      </c>
      <c r="H22" s="118">
        <f>IF(Założenia_kredyty!$D$9="TAK",IF(D22=Założenia_kredyty!$D$6,SUM(Obliczenia_kredyty!F$5:F22),IF(D22&lt;Założenia_kredyty!$D$6,0,F22)),F22)</f>
        <v>48058</v>
      </c>
      <c r="I22" s="118">
        <f t="shared" si="10"/>
        <v>181856.71</v>
      </c>
      <c r="J22" s="118">
        <f t="shared" si="1"/>
        <v>14717857.93999999</v>
      </c>
      <c r="L22"/>
      <c r="M22"/>
      <c r="N22"/>
      <c r="O22"/>
      <c r="P22"/>
      <c r="Q22"/>
      <c r="R22"/>
      <c r="S22"/>
      <c r="T22"/>
      <c r="U22"/>
      <c r="W22" s="139">
        <v>17</v>
      </c>
      <c r="X22" s="118">
        <f t="shared" si="13"/>
        <v>14851656.649999991</v>
      </c>
      <c r="Y22" s="115">
        <f t="shared" si="15"/>
        <v>2018</v>
      </c>
      <c r="Z22" s="142">
        <f>EOMONTH(Założenia_kredyty!$D$5,W22)</f>
        <v>43404</v>
      </c>
      <c r="AA22" s="141">
        <f>HLOOKUP(Y22,Założenia!$I$5:$U$11,7,0)</f>
        <v>0</v>
      </c>
      <c r="AB22" s="143">
        <f t="shared" si="14"/>
        <v>48058</v>
      </c>
      <c r="AC22" s="118">
        <f t="shared" si="5"/>
        <v>133798.71</v>
      </c>
      <c r="AD22" s="118">
        <f t="shared" si="6"/>
        <v>48058</v>
      </c>
      <c r="AE22" s="118">
        <f t="shared" si="7"/>
        <v>181856.71</v>
      </c>
      <c r="AF22" s="118">
        <f t="shared" si="8"/>
        <v>14717857.93999999</v>
      </c>
    </row>
    <row r="23" spans="1:32">
      <c r="A23" s="139">
        <v>18</v>
      </c>
      <c r="B23" s="118">
        <f t="shared" si="16"/>
        <v>14717857.93999999</v>
      </c>
      <c r="C23" s="115">
        <f t="shared" si="0"/>
        <v>2018</v>
      </c>
      <c r="D23" s="142">
        <f>EOMONTH(Założenia_kredyty!$D$5,A23)</f>
        <v>43434</v>
      </c>
      <c r="E23" s="141">
        <f>HLOOKUP(C23,Założenia!$I$5:$U$11,6,0)+Założenia_kredyty!$D$11</f>
        <v>3.8100000000000002E-2</v>
      </c>
      <c r="F23" s="143">
        <f t="shared" si="9"/>
        <v>46089</v>
      </c>
      <c r="G23" s="118">
        <f>IF(D23&gt;=Założenia_kredyty!$D$6,IF(B23&gt;=Założenia_kredyty!$D$7,Założenia_kredyty!$D$7,B23),0)</f>
        <v>133798.71</v>
      </c>
      <c r="H23" s="118">
        <f>IF(Założenia_kredyty!$D$9="TAK",IF(D23=Założenia_kredyty!$D$6,SUM(Obliczenia_kredyty!F$5:F23),IF(D23&lt;Założenia_kredyty!$D$6,0,F23)),F23)</f>
        <v>46089</v>
      </c>
      <c r="I23" s="118">
        <f t="shared" si="10"/>
        <v>179887.71</v>
      </c>
      <c r="J23" s="118">
        <f t="shared" si="1"/>
        <v>14584059.229999989</v>
      </c>
      <c r="L23"/>
      <c r="M23"/>
      <c r="N23"/>
      <c r="O23"/>
      <c r="P23"/>
      <c r="Q23"/>
      <c r="R23"/>
      <c r="S23"/>
      <c r="T23"/>
      <c r="U23"/>
      <c r="W23" s="139">
        <v>18</v>
      </c>
      <c r="X23" s="118">
        <f t="shared" si="13"/>
        <v>14717857.93999999</v>
      </c>
      <c r="Y23" s="115">
        <f t="shared" si="15"/>
        <v>2018</v>
      </c>
      <c r="Z23" s="142">
        <f>EOMONTH(Założenia_kredyty!$D$5,W23)</f>
        <v>43434</v>
      </c>
      <c r="AA23" s="141">
        <f>HLOOKUP(Y23,Założenia!$I$5:$U$11,7,0)</f>
        <v>0</v>
      </c>
      <c r="AB23" s="143">
        <f t="shared" si="14"/>
        <v>46089</v>
      </c>
      <c r="AC23" s="118">
        <f t="shared" si="5"/>
        <v>133798.71</v>
      </c>
      <c r="AD23" s="118">
        <f t="shared" si="6"/>
        <v>46089</v>
      </c>
      <c r="AE23" s="118">
        <f t="shared" si="7"/>
        <v>179887.71</v>
      </c>
      <c r="AF23" s="118">
        <f t="shared" si="8"/>
        <v>14584059.229999989</v>
      </c>
    </row>
    <row r="24" spans="1:32">
      <c r="A24" s="139">
        <v>19</v>
      </c>
      <c r="B24" s="118">
        <f t="shared" si="16"/>
        <v>14584059.229999989</v>
      </c>
      <c r="C24" s="115">
        <f t="shared" si="0"/>
        <v>2018</v>
      </c>
      <c r="D24" s="142">
        <f>EOMONTH(Założenia_kredyty!$D$5,A24)</f>
        <v>43465</v>
      </c>
      <c r="E24" s="141">
        <f>HLOOKUP(C24,Założenia!$I$5:$U$11,6,0)+Założenia_kredyty!$D$11</f>
        <v>3.8100000000000002E-2</v>
      </c>
      <c r="F24" s="143">
        <f t="shared" si="9"/>
        <v>47192</v>
      </c>
      <c r="G24" s="118">
        <f>IF(D24&gt;=Założenia_kredyty!$D$6,IF(B24&gt;=Założenia_kredyty!$D$7,Założenia_kredyty!$D$7,B24),0)</f>
        <v>133798.71</v>
      </c>
      <c r="H24" s="118">
        <f>IF(Założenia_kredyty!$D$9="TAK",IF(D24=Założenia_kredyty!$D$6,SUM(Obliczenia_kredyty!F$5:F24),IF(D24&lt;Założenia_kredyty!$D$6,0,F24)),F24)</f>
        <v>47192</v>
      </c>
      <c r="I24" s="118">
        <f t="shared" si="10"/>
        <v>180990.71</v>
      </c>
      <c r="J24" s="118">
        <f t="shared" si="1"/>
        <v>14450260.519999988</v>
      </c>
      <c r="L24"/>
      <c r="M24"/>
      <c r="N24"/>
      <c r="O24"/>
      <c r="P24"/>
      <c r="Q24"/>
      <c r="R24"/>
      <c r="S24"/>
      <c r="T24"/>
      <c r="U24"/>
      <c r="W24" s="139">
        <v>19</v>
      </c>
      <c r="X24" s="118">
        <f t="shared" si="13"/>
        <v>14584059.229999989</v>
      </c>
      <c r="Y24" s="115">
        <f t="shared" si="15"/>
        <v>2018</v>
      </c>
      <c r="Z24" s="142">
        <f>EOMONTH(Założenia_kredyty!$D$5,W24)</f>
        <v>43465</v>
      </c>
      <c r="AA24" s="141">
        <f>HLOOKUP(Y24,Założenia!$I$5:$U$11,7,0)</f>
        <v>0</v>
      </c>
      <c r="AB24" s="143">
        <f t="shared" si="14"/>
        <v>47192</v>
      </c>
      <c r="AC24" s="118">
        <f t="shared" si="5"/>
        <v>133798.71</v>
      </c>
      <c r="AD24" s="118">
        <f t="shared" si="6"/>
        <v>47192</v>
      </c>
      <c r="AE24" s="118">
        <f t="shared" si="7"/>
        <v>180990.71</v>
      </c>
      <c r="AF24" s="118">
        <f t="shared" si="8"/>
        <v>14450260.519999988</v>
      </c>
    </row>
    <row r="25" spans="1:32">
      <c r="A25" s="139">
        <v>20</v>
      </c>
      <c r="B25" s="118">
        <f t="shared" si="16"/>
        <v>14450260.519999988</v>
      </c>
      <c r="C25" s="115">
        <f t="shared" si="0"/>
        <v>2019</v>
      </c>
      <c r="D25" s="142">
        <f>EOMONTH(Założenia_kredyty!$D$5,A25)</f>
        <v>43496</v>
      </c>
      <c r="E25" s="141">
        <f>HLOOKUP(C25,Założenia!$I$5:$U$11,6,0)+Założenia_kredyty!$D$11</f>
        <v>0.04</v>
      </c>
      <c r="F25" s="143">
        <f t="shared" si="9"/>
        <v>49091</v>
      </c>
      <c r="G25" s="118">
        <f>IF(D25&gt;=Założenia_kredyty!$D$6,IF(B25&gt;=Założenia_kredyty!$D$7,Założenia_kredyty!$D$7,B25),0)</f>
        <v>133798.71</v>
      </c>
      <c r="H25" s="118">
        <f>IF(Założenia_kredyty!$D$9="TAK",IF(D25=Założenia_kredyty!$D$6,SUM(Obliczenia_kredyty!F$5:F25),IF(D25&lt;Założenia_kredyty!$D$6,0,F25)),F25)</f>
        <v>49091</v>
      </c>
      <c r="I25" s="118">
        <f t="shared" si="10"/>
        <v>182889.71</v>
      </c>
      <c r="J25" s="118">
        <f t="shared" si="1"/>
        <v>14316461.809999987</v>
      </c>
      <c r="L25"/>
      <c r="M25"/>
      <c r="N25"/>
      <c r="O25"/>
      <c r="P25"/>
      <c r="Q25"/>
      <c r="R25"/>
      <c r="S25"/>
      <c r="T25"/>
      <c r="U25"/>
      <c r="W25" s="139">
        <v>20</v>
      </c>
      <c r="X25" s="118">
        <f t="shared" si="13"/>
        <v>14450260.519999988</v>
      </c>
      <c r="Y25" s="115">
        <f t="shared" si="15"/>
        <v>2019</v>
      </c>
      <c r="Z25" s="142">
        <f>EOMONTH(Założenia_kredyty!$D$5,W25)</f>
        <v>43496</v>
      </c>
      <c r="AA25" s="141">
        <f>HLOOKUP(Y25,Założenia!$I$5:$U$11,7,0)</f>
        <v>0</v>
      </c>
      <c r="AB25" s="143">
        <f t="shared" si="14"/>
        <v>49091</v>
      </c>
      <c r="AC25" s="118">
        <f t="shared" si="5"/>
        <v>133798.71</v>
      </c>
      <c r="AD25" s="118">
        <f t="shared" si="6"/>
        <v>49091</v>
      </c>
      <c r="AE25" s="118">
        <f t="shared" si="7"/>
        <v>182889.71</v>
      </c>
      <c r="AF25" s="118">
        <f t="shared" si="8"/>
        <v>14316461.809999987</v>
      </c>
    </row>
    <row r="26" spans="1:32">
      <c r="A26" s="139">
        <v>21</v>
      </c>
      <c r="B26" s="118">
        <f t="shared" si="16"/>
        <v>14316461.809999987</v>
      </c>
      <c r="C26" s="115">
        <f t="shared" si="0"/>
        <v>2019</v>
      </c>
      <c r="D26" s="142">
        <f>EOMONTH(Założenia_kredyty!$D$5,A26)</f>
        <v>43524</v>
      </c>
      <c r="E26" s="141">
        <f>HLOOKUP(C26,Założenia!$I$5:$U$11,6,0)+Założenia_kredyty!$D$11</f>
        <v>0.04</v>
      </c>
      <c r="F26" s="143">
        <f t="shared" si="9"/>
        <v>43930</v>
      </c>
      <c r="G26" s="118">
        <f>IF(D26&gt;=Założenia_kredyty!$D$6,IF(B26&gt;=Założenia_kredyty!$D$7,Założenia_kredyty!$D$7,B26),0)</f>
        <v>133798.71</v>
      </c>
      <c r="H26" s="118">
        <f>IF(Założenia_kredyty!$D$9="TAK",IF(D26=Założenia_kredyty!$D$6,SUM(Obliczenia_kredyty!F$5:F26),IF(D26&lt;Założenia_kredyty!$D$6,0,F26)),F26)</f>
        <v>43930</v>
      </c>
      <c r="I26" s="118">
        <f t="shared" si="10"/>
        <v>177728.71</v>
      </c>
      <c r="J26" s="118">
        <f t="shared" si="1"/>
        <v>14182663.099999987</v>
      </c>
      <c r="L26"/>
      <c r="M26"/>
      <c r="N26"/>
      <c r="O26"/>
      <c r="P26"/>
      <c r="Q26"/>
      <c r="R26"/>
      <c r="S26"/>
      <c r="T26"/>
      <c r="U26"/>
      <c r="W26" s="139">
        <v>21</v>
      </c>
      <c r="X26" s="118">
        <f t="shared" si="13"/>
        <v>14316461.809999987</v>
      </c>
      <c r="Y26" s="115">
        <f t="shared" si="15"/>
        <v>2019</v>
      </c>
      <c r="Z26" s="142">
        <f>EOMONTH(Założenia_kredyty!$D$5,W26)</f>
        <v>43524</v>
      </c>
      <c r="AA26" s="141">
        <f>HLOOKUP(Y26,Założenia!$I$5:$U$11,7,0)</f>
        <v>0</v>
      </c>
      <c r="AB26" s="143">
        <f t="shared" si="14"/>
        <v>43930</v>
      </c>
      <c r="AC26" s="118">
        <f t="shared" si="5"/>
        <v>133798.71</v>
      </c>
      <c r="AD26" s="118">
        <f t="shared" si="6"/>
        <v>43930</v>
      </c>
      <c r="AE26" s="118">
        <f t="shared" si="7"/>
        <v>177728.71</v>
      </c>
      <c r="AF26" s="118">
        <f t="shared" si="8"/>
        <v>14182663.099999987</v>
      </c>
    </row>
    <row r="27" spans="1:32">
      <c r="A27" s="139">
        <v>22</v>
      </c>
      <c r="B27" s="118">
        <f t="shared" si="16"/>
        <v>14182663.099999987</v>
      </c>
      <c r="C27" s="115">
        <f t="shared" si="0"/>
        <v>2019</v>
      </c>
      <c r="D27" s="142">
        <f>EOMONTH(Założenia_kredyty!$D$5,A27)</f>
        <v>43555</v>
      </c>
      <c r="E27" s="141">
        <f>HLOOKUP(C27,Założenia!$I$5:$U$11,6,0)+Założenia_kredyty!$D$11</f>
        <v>0.04</v>
      </c>
      <c r="F27" s="143">
        <f t="shared" si="9"/>
        <v>48182</v>
      </c>
      <c r="G27" s="118">
        <f>IF(D27&gt;=Założenia_kredyty!$D$6,IF(B27&gt;=Założenia_kredyty!$D$7,Założenia_kredyty!$D$7,B27),0)</f>
        <v>133798.71</v>
      </c>
      <c r="H27" s="118">
        <f>IF(Założenia_kredyty!$D$9="TAK",IF(D27=Założenia_kredyty!$D$6,SUM(Obliczenia_kredyty!F$5:F27),IF(D27&lt;Założenia_kredyty!$D$6,0,F27)),F27)</f>
        <v>48182</v>
      </c>
      <c r="I27" s="118">
        <f t="shared" si="10"/>
        <v>181980.71</v>
      </c>
      <c r="J27" s="118">
        <f t="shared" si="1"/>
        <v>14048864.389999986</v>
      </c>
      <c r="L27"/>
      <c r="M27"/>
      <c r="N27"/>
      <c r="O27"/>
      <c r="P27"/>
      <c r="Q27"/>
      <c r="R27"/>
      <c r="S27"/>
      <c r="T27"/>
      <c r="U27"/>
      <c r="W27" s="139">
        <v>22</v>
      </c>
      <c r="X27" s="118">
        <f t="shared" si="13"/>
        <v>14182663.099999987</v>
      </c>
      <c r="Y27" s="115">
        <f t="shared" si="15"/>
        <v>2019</v>
      </c>
      <c r="Z27" s="142">
        <f>EOMONTH(Założenia_kredyty!$D$5,W27)</f>
        <v>43555</v>
      </c>
      <c r="AA27" s="141">
        <f>HLOOKUP(Y27,Założenia!$I$5:$U$11,7,0)</f>
        <v>0</v>
      </c>
      <c r="AB27" s="143">
        <f t="shared" si="14"/>
        <v>48182</v>
      </c>
      <c r="AC27" s="118">
        <f t="shared" si="5"/>
        <v>133798.71</v>
      </c>
      <c r="AD27" s="118">
        <f t="shared" si="6"/>
        <v>48182</v>
      </c>
      <c r="AE27" s="118">
        <f t="shared" si="7"/>
        <v>181980.71</v>
      </c>
      <c r="AF27" s="118">
        <f t="shared" si="8"/>
        <v>14048864.389999986</v>
      </c>
    </row>
    <row r="28" spans="1:32">
      <c r="A28" s="139">
        <v>23</v>
      </c>
      <c r="B28" s="118">
        <f t="shared" si="16"/>
        <v>14048864.389999986</v>
      </c>
      <c r="C28" s="115">
        <f t="shared" si="0"/>
        <v>2019</v>
      </c>
      <c r="D28" s="142">
        <f>EOMONTH(Założenia_kredyty!$D$5,A28)</f>
        <v>43585</v>
      </c>
      <c r="E28" s="141">
        <f>HLOOKUP(C28,Założenia!$I$5:$U$11,6,0)+Założenia_kredyty!$D$11</f>
        <v>0.04</v>
      </c>
      <c r="F28" s="143">
        <f t="shared" si="9"/>
        <v>46188</v>
      </c>
      <c r="G28" s="118">
        <f>IF(D28&gt;=Założenia_kredyty!$D$6,IF(B28&gt;=Założenia_kredyty!$D$7,Założenia_kredyty!$D$7,B28),0)</f>
        <v>133798.71</v>
      </c>
      <c r="H28" s="118">
        <f>IF(Założenia_kredyty!$D$9="TAK",IF(D28=Założenia_kredyty!$D$6,SUM(Obliczenia_kredyty!F$5:F28),IF(D28&lt;Założenia_kredyty!$D$6,0,F28)),F28)</f>
        <v>46188</v>
      </c>
      <c r="I28" s="118">
        <f t="shared" si="10"/>
        <v>179986.71</v>
      </c>
      <c r="J28" s="118">
        <f t="shared" si="1"/>
        <v>13915065.679999985</v>
      </c>
      <c r="L28"/>
      <c r="M28"/>
      <c r="N28"/>
      <c r="O28"/>
      <c r="P28"/>
      <c r="Q28"/>
      <c r="R28"/>
      <c r="S28"/>
      <c r="T28"/>
      <c r="U28"/>
      <c r="W28" s="139">
        <v>23</v>
      </c>
      <c r="X28" s="118">
        <f t="shared" si="13"/>
        <v>14048864.389999986</v>
      </c>
      <c r="Y28" s="115">
        <f t="shared" si="15"/>
        <v>2019</v>
      </c>
      <c r="Z28" s="142">
        <f>EOMONTH(Założenia_kredyty!$D$5,W28)</f>
        <v>43585</v>
      </c>
      <c r="AA28" s="141">
        <f>HLOOKUP(Y28,Założenia!$I$5:$U$11,7,0)</f>
        <v>0</v>
      </c>
      <c r="AB28" s="143">
        <f t="shared" si="14"/>
        <v>46188</v>
      </c>
      <c r="AC28" s="118">
        <f t="shared" si="5"/>
        <v>133798.71</v>
      </c>
      <c r="AD28" s="118">
        <f t="shared" si="6"/>
        <v>46188</v>
      </c>
      <c r="AE28" s="118">
        <f t="shared" si="7"/>
        <v>179986.71</v>
      </c>
      <c r="AF28" s="118">
        <f t="shared" si="8"/>
        <v>13915065.679999985</v>
      </c>
    </row>
    <row r="29" spans="1:32">
      <c r="A29" s="139">
        <v>24</v>
      </c>
      <c r="B29" s="118">
        <f t="shared" si="16"/>
        <v>13915065.679999985</v>
      </c>
      <c r="C29" s="115">
        <f t="shared" si="0"/>
        <v>2019</v>
      </c>
      <c r="D29" s="142">
        <f>EOMONTH(Założenia_kredyty!$D$5,A29)</f>
        <v>43616</v>
      </c>
      <c r="E29" s="141">
        <f>HLOOKUP(C29,Założenia!$I$5:$U$11,6,0)+Założenia_kredyty!$D$11</f>
        <v>0.04</v>
      </c>
      <c r="F29" s="143">
        <f t="shared" si="9"/>
        <v>47273</v>
      </c>
      <c r="G29" s="118">
        <f>IF(D29&gt;=Założenia_kredyty!$D$6,IF(B29&gt;=Założenia_kredyty!$D$7,Założenia_kredyty!$D$7,B29),0)</f>
        <v>133798.71</v>
      </c>
      <c r="H29" s="118">
        <f>IF(Założenia_kredyty!$D$9="TAK",IF(D29=Założenia_kredyty!$D$6,SUM(Obliczenia_kredyty!F$5:F29),IF(D29&lt;Założenia_kredyty!$D$6,0,F29)),F29)</f>
        <v>47273</v>
      </c>
      <c r="I29" s="118">
        <f t="shared" si="10"/>
        <v>181071.71</v>
      </c>
      <c r="J29" s="118">
        <f t="shared" si="1"/>
        <v>13781266.969999984</v>
      </c>
      <c r="L29"/>
      <c r="M29"/>
      <c r="N29"/>
      <c r="O29"/>
      <c r="P29"/>
      <c r="Q29"/>
      <c r="R29"/>
      <c r="S29"/>
      <c r="T29"/>
      <c r="U29"/>
      <c r="W29" s="139">
        <v>24</v>
      </c>
      <c r="X29" s="118">
        <f t="shared" si="13"/>
        <v>13915065.679999985</v>
      </c>
      <c r="Y29" s="115">
        <f t="shared" si="15"/>
        <v>2019</v>
      </c>
      <c r="Z29" s="142">
        <f>EOMONTH(Założenia_kredyty!$D$5,W29)</f>
        <v>43616</v>
      </c>
      <c r="AA29" s="141">
        <f>HLOOKUP(Y29,Założenia!$I$5:$U$11,7,0)</f>
        <v>0</v>
      </c>
      <c r="AB29" s="143">
        <f t="shared" si="14"/>
        <v>47273</v>
      </c>
      <c r="AC29" s="118">
        <f t="shared" si="5"/>
        <v>133798.71</v>
      </c>
      <c r="AD29" s="118">
        <f t="shared" si="6"/>
        <v>47273</v>
      </c>
      <c r="AE29" s="118">
        <f t="shared" si="7"/>
        <v>181071.71</v>
      </c>
      <c r="AF29" s="118">
        <f t="shared" si="8"/>
        <v>13781266.969999984</v>
      </c>
    </row>
    <row r="30" spans="1:32">
      <c r="A30" s="139">
        <v>25</v>
      </c>
      <c r="B30" s="118">
        <f t="shared" si="16"/>
        <v>13781266.969999984</v>
      </c>
      <c r="C30" s="115">
        <f t="shared" si="0"/>
        <v>2019</v>
      </c>
      <c r="D30" s="142">
        <f>EOMONTH(Założenia_kredyty!$D$5,A30)</f>
        <v>43646</v>
      </c>
      <c r="E30" s="141">
        <f>HLOOKUP(C30,Założenia!$I$5:$U$11,6,0)+Założenia_kredyty!$D$11</f>
        <v>0.04</v>
      </c>
      <c r="F30" s="143">
        <f t="shared" si="9"/>
        <v>45308</v>
      </c>
      <c r="G30" s="118">
        <f>IF(D30&gt;=Założenia_kredyty!$D$6,IF(B30&gt;=Założenia_kredyty!$D$7,Założenia_kredyty!$D$7,B30),0)</f>
        <v>133798.71</v>
      </c>
      <c r="H30" s="118">
        <f>IF(Założenia_kredyty!$D$9="TAK",IF(D30=Założenia_kredyty!$D$6,SUM(Obliczenia_kredyty!F$5:F30),IF(D30&lt;Założenia_kredyty!$D$6,0,F30)),F30)</f>
        <v>45308</v>
      </c>
      <c r="I30" s="118">
        <f t="shared" si="10"/>
        <v>179106.71</v>
      </c>
      <c r="J30" s="118">
        <f t="shared" si="1"/>
        <v>13647468.259999983</v>
      </c>
      <c r="L30"/>
      <c r="M30"/>
      <c r="N30"/>
      <c r="O30"/>
      <c r="P30"/>
      <c r="Q30"/>
      <c r="R30"/>
      <c r="S30"/>
      <c r="T30"/>
      <c r="U30"/>
      <c r="W30" s="139">
        <v>25</v>
      </c>
      <c r="X30" s="118">
        <f t="shared" si="13"/>
        <v>13781266.969999984</v>
      </c>
      <c r="Y30" s="115">
        <f t="shared" si="15"/>
        <v>2019</v>
      </c>
      <c r="Z30" s="142">
        <f>EOMONTH(Założenia_kredyty!$D$5,W30)</f>
        <v>43646</v>
      </c>
      <c r="AA30" s="141">
        <f>HLOOKUP(Y30,Założenia!$I$5:$U$11,7,0)</f>
        <v>0</v>
      </c>
      <c r="AB30" s="143">
        <f t="shared" si="14"/>
        <v>45308</v>
      </c>
      <c r="AC30" s="118">
        <f t="shared" si="5"/>
        <v>133798.71</v>
      </c>
      <c r="AD30" s="118">
        <f t="shared" si="6"/>
        <v>45308</v>
      </c>
      <c r="AE30" s="118">
        <f t="shared" si="7"/>
        <v>179106.71</v>
      </c>
      <c r="AF30" s="118">
        <f t="shared" si="8"/>
        <v>13647468.259999983</v>
      </c>
    </row>
    <row r="31" spans="1:32">
      <c r="A31" s="139">
        <v>26</v>
      </c>
      <c r="B31" s="118">
        <f t="shared" si="16"/>
        <v>13647468.259999983</v>
      </c>
      <c r="C31" s="115">
        <f t="shared" si="0"/>
        <v>2019</v>
      </c>
      <c r="D31" s="142">
        <f>EOMONTH(Założenia_kredyty!$D$5,A31)</f>
        <v>43677</v>
      </c>
      <c r="E31" s="141">
        <f>HLOOKUP(C31,Założenia!$I$5:$U$11,6,0)+Założenia_kredyty!$D$11</f>
        <v>0.04</v>
      </c>
      <c r="F31" s="143">
        <f t="shared" si="9"/>
        <v>46364</v>
      </c>
      <c r="G31" s="118">
        <f>IF(D31&gt;=Założenia_kredyty!$D$6,IF(B31&gt;=Założenia_kredyty!$D$7,Założenia_kredyty!$D$7,B31),0)</f>
        <v>133798.71</v>
      </c>
      <c r="H31" s="118">
        <f>IF(Założenia_kredyty!$D$9="TAK",IF(D31=Założenia_kredyty!$D$6,SUM(Obliczenia_kredyty!F$5:F31),IF(D31&lt;Założenia_kredyty!$D$6,0,F31)),F31)</f>
        <v>46364</v>
      </c>
      <c r="I31" s="118">
        <f t="shared" si="10"/>
        <v>180162.71</v>
      </c>
      <c r="J31" s="118">
        <f t="shared" si="1"/>
        <v>13513669.549999982</v>
      </c>
      <c r="L31"/>
      <c r="M31"/>
      <c r="N31"/>
      <c r="O31"/>
      <c r="P31"/>
      <c r="Q31"/>
      <c r="R31"/>
      <c r="S31"/>
      <c r="T31"/>
      <c r="U31"/>
      <c r="W31" s="139">
        <v>26</v>
      </c>
      <c r="X31" s="118">
        <f t="shared" si="13"/>
        <v>13647468.259999983</v>
      </c>
      <c r="Y31" s="115">
        <f t="shared" si="15"/>
        <v>2019</v>
      </c>
      <c r="Z31" s="142">
        <f>EOMONTH(Założenia_kredyty!$D$5,W31)</f>
        <v>43677</v>
      </c>
      <c r="AA31" s="141">
        <f>HLOOKUP(Y31,Założenia!$I$5:$U$11,7,0)</f>
        <v>0</v>
      </c>
      <c r="AB31" s="143">
        <f t="shared" si="14"/>
        <v>46364</v>
      </c>
      <c r="AC31" s="118">
        <f t="shared" si="5"/>
        <v>133798.71</v>
      </c>
      <c r="AD31" s="118">
        <f t="shared" si="6"/>
        <v>46364</v>
      </c>
      <c r="AE31" s="118">
        <f t="shared" si="7"/>
        <v>180162.71</v>
      </c>
      <c r="AF31" s="118">
        <f t="shared" si="8"/>
        <v>13513669.549999982</v>
      </c>
    </row>
    <row r="32" spans="1:32">
      <c r="A32" s="139">
        <v>27</v>
      </c>
      <c r="B32" s="118">
        <f t="shared" si="16"/>
        <v>13513669.549999982</v>
      </c>
      <c r="C32" s="115">
        <f t="shared" si="0"/>
        <v>2019</v>
      </c>
      <c r="D32" s="142">
        <f>EOMONTH(Założenia_kredyty!$D$5,A32)</f>
        <v>43708</v>
      </c>
      <c r="E32" s="141">
        <f>HLOOKUP(C32,Założenia!$I$5:$U$11,6,0)+Założenia_kredyty!$D$11</f>
        <v>0.04</v>
      </c>
      <c r="F32" s="143">
        <f t="shared" si="9"/>
        <v>45909</v>
      </c>
      <c r="G32" s="118">
        <f>IF(D32&gt;=Założenia_kredyty!$D$6,IF(B32&gt;=Założenia_kredyty!$D$7,Założenia_kredyty!$D$7,B32),0)</f>
        <v>133798.71</v>
      </c>
      <c r="H32" s="118">
        <f>IF(Założenia_kredyty!$D$9="TAK",IF(D32=Założenia_kredyty!$D$6,SUM(Obliczenia_kredyty!F$5:F32),IF(D32&lt;Założenia_kredyty!$D$6,0,F32)),F32)</f>
        <v>45909</v>
      </c>
      <c r="I32" s="118">
        <f t="shared" si="10"/>
        <v>179707.71</v>
      </c>
      <c r="J32" s="118">
        <f t="shared" si="1"/>
        <v>13379870.839999981</v>
      </c>
      <c r="L32"/>
      <c r="M32"/>
      <c r="N32"/>
      <c r="O32"/>
      <c r="P32"/>
      <c r="Q32"/>
      <c r="R32"/>
      <c r="S32"/>
      <c r="T32"/>
      <c r="U32"/>
      <c r="W32" s="139">
        <v>27</v>
      </c>
      <c r="X32" s="118">
        <f t="shared" si="13"/>
        <v>13513669.549999982</v>
      </c>
      <c r="Y32" s="115">
        <f t="shared" si="15"/>
        <v>2019</v>
      </c>
      <c r="Z32" s="142">
        <f>EOMONTH(Założenia_kredyty!$D$5,W32)</f>
        <v>43708</v>
      </c>
      <c r="AA32" s="141">
        <f>HLOOKUP(Y32,Założenia!$I$5:$U$11,7,0)</f>
        <v>0</v>
      </c>
      <c r="AB32" s="143">
        <f t="shared" si="14"/>
        <v>45909</v>
      </c>
      <c r="AC32" s="118">
        <f t="shared" si="5"/>
        <v>133798.71</v>
      </c>
      <c r="AD32" s="118">
        <f t="shared" si="6"/>
        <v>45909</v>
      </c>
      <c r="AE32" s="118">
        <f t="shared" si="7"/>
        <v>179707.71</v>
      </c>
      <c r="AF32" s="118">
        <f t="shared" si="8"/>
        <v>13379870.839999981</v>
      </c>
    </row>
    <row r="33" spans="1:32">
      <c r="A33" s="139">
        <v>28</v>
      </c>
      <c r="B33" s="118">
        <f t="shared" si="16"/>
        <v>13379870.839999981</v>
      </c>
      <c r="C33" s="115">
        <f t="shared" si="0"/>
        <v>2019</v>
      </c>
      <c r="D33" s="142">
        <f>EOMONTH(Założenia_kredyty!$D$5,A33)</f>
        <v>43738</v>
      </c>
      <c r="E33" s="141">
        <f>HLOOKUP(C33,Założenia!$I$5:$U$11,6,0)+Założenia_kredyty!$D$11</f>
        <v>0.04</v>
      </c>
      <c r="F33" s="143">
        <f t="shared" si="9"/>
        <v>43989</v>
      </c>
      <c r="G33" s="118">
        <f>IF(D33&gt;=Założenia_kredyty!$D$6,IF(B33&gt;=Założenia_kredyty!$D$7,Założenia_kredyty!$D$7,B33),0)</f>
        <v>133798.71</v>
      </c>
      <c r="H33" s="118">
        <f>IF(Założenia_kredyty!$D$9="TAK",IF(D33=Założenia_kredyty!$D$6,SUM(Obliczenia_kredyty!F$5:F33),IF(D33&lt;Założenia_kredyty!$D$6,0,F33)),F33)</f>
        <v>43989</v>
      </c>
      <c r="I33" s="118">
        <f t="shared" si="10"/>
        <v>177787.71</v>
      </c>
      <c r="J33" s="118">
        <f t="shared" si="1"/>
        <v>13246072.12999998</v>
      </c>
      <c r="L33"/>
      <c r="M33"/>
      <c r="N33"/>
      <c r="O33"/>
      <c r="P33"/>
      <c r="Q33"/>
      <c r="R33"/>
      <c r="S33"/>
      <c r="T33"/>
      <c r="U33"/>
      <c r="W33" s="139">
        <v>28</v>
      </c>
      <c r="X33" s="118">
        <f t="shared" si="13"/>
        <v>13379870.839999981</v>
      </c>
      <c r="Y33" s="115">
        <f t="shared" si="15"/>
        <v>2019</v>
      </c>
      <c r="Z33" s="142">
        <f>EOMONTH(Założenia_kredyty!$D$5,W33)</f>
        <v>43738</v>
      </c>
      <c r="AA33" s="141">
        <f>HLOOKUP(Y33,Założenia!$I$5:$U$11,7,0)</f>
        <v>0</v>
      </c>
      <c r="AB33" s="143">
        <f t="shared" si="14"/>
        <v>43989</v>
      </c>
      <c r="AC33" s="118">
        <f t="shared" si="5"/>
        <v>133798.71</v>
      </c>
      <c r="AD33" s="118">
        <f t="shared" si="6"/>
        <v>43989</v>
      </c>
      <c r="AE33" s="118">
        <f t="shared" si="7"/>
        <v>177787.71</v>
      </c>
      <c r="AF33" s="118">
        <f t="shared" si="8"/>
        <v>13246072.12999998</v>
      </c>
    </row>
    <row r="34" spans="1:32">
      <c r="A34" s="139">
        <v>29</v>
      </c>
      <c r="B34" s="118">
        <f t="shared" si="16"/>
        <v>13246072.12999998</v>
      </c>
      <c r="C34" s="115">
        <f t="shared" si="0"/>
        <v>2019</v>
      </c>
      <c r="D34" s="142">
        <f>EOMONTH(Założenia_kredyty!$D$5,A34)</f>
        <v>43769</v>
      </c>
      <c r="E34" s="141">
        <f>HLOOKUP(C34,Założenia!$I$5:$U$11,6,0)+Założenia_kredyty!$D$11</f>
        <v>0.04</v>
      </c>
      <c r="F34" s="143">
        <f t="shared" si="9"/>
        <v>45000</v>
      </c>
      <c r="G34" s="118">
        <f>IF(D34&gt;=Założenia_kredyty!$D$6,IF(B34&gt;=Założenia_kredyty!$D$7,Założenia_kredyty!$D$7,B34),0)</f>
        <v>133798.71</v>
      </c>
      <c r="H34" s="118">
        <f>IF(Założenia_kredyty!$D$9="TAK",IF(D34=Założenia_kredyty!$D$6,SUM(Obliczenia_kredyty!F$5:F34),IF(D34&lt;Założenia_kredyty!$D$6,0,F34)),F34)</f>
        <v>45000</v>
      </c>
      <c r="I34" s="118">
        <f t="shared" si="10"/>
        <v>178798.71</v>
      </c>
      <c r="J34" s="118">
        <f t="shared" si="1"/>
        <v>13112273.419999979</v>
      </c>
      <c r="L34"/>
      <c r="M34"/>
      <c r="N34"/>
      <c r="O34"/>
      <c r="P34"/>
      <c r="Q34"/>
      <c r="R34"/>
      <c r="S34"/>
      <c r="T34"/>
      <c r="U34"/>
      <c r="W34" s="139">
        <v>29</v>
      </c>
      <c r="X34" s="118">
        <f t="shared" si="13"/>
        <v>13246072.12999998</v>
      </c>
      <c r="Y34" s="115">
        <f t="shared" si="15"/>
        <v>2019</v>
      </c>
      <c r="Z34" s="142">
        <f>EOMONTH(Założenia_kredyty!$D$5,W34)</f>
        <v>43769</v>
      </c>
      <c r="AA34" s="141">
        <f>HLOOKUP(Y34,Założenia!$I$5:$U$11,7,0)</f>
        <v>0</v>
      </c>
      <c r="AB34" s="143">
        <f t="shared" si="14"/>
        <v>45000</v>
      </c>
      <c r="AC34" s="118">
        <f t="shared" si="5"/>
        <v>133798.71</v>
      </c>
      <c r="AD34" s="118">
        <f t="shared" si="6"/>
        <v>45000</v>
      </c>
      <c r="AE34" s="118">
        <f t="shared" si="7"/>
        <v>178798.71</v>
      </c>
      <c r="AF34" s="118">
        <f t="shared" si="8"/>
        <v>13112273.419999979</v>
      </c>
    </row>
    <row r="35" spans="1:32">
      <c r="A35" s="139">
        <v>30</v>
      </c>
      <c r="B35" s="118">
        <f t="shared" si="16"/>
        <v>13112273.419999979</v>
      </c>
      <c r="C35" s="115">
        <f t="shared" si="0"/>
        <v>2019</v>
      </c>
      <c r="D35" s="142">
        <f>EOMONTH(Założenia_kredyty!$D$5,A35)</f>
        <v>43799</v>
      </c>
      <c r="E35" s="141">
        <f>HLOOKUP(C35,Założenia!$I$5:$U$11,6,0)+Założenia_kredyty!$D$11</f>
        <v>0.04</v>
      </c>
      <c r="F35" s="143">
        <f t="shared" si="9"/>
        <v>43109</v>
      </c>
      <c r="G35" s="118">
        <f>IF(D35&gt;=Założenia_kredyty!$D$6,IF(B35&gt;=Założenia_kredyty!$D$7,Założenia_kredyty!$D$7,B35),0)</f>
        <v>133798.71</v>
      </c>
      <c r="H35" s="118">
        <f>IF(Założenia_kredyty!$D$9="TAK",IF(D35=Założenia_kredyty!$D$6,SUM(Obliczenia_kredyty!F$5:F35),IF(D35&lt;Założenia_kredyty!$D$6,0,F35)),F35)</f>
        <v>43109</v>
      </c>
      <c r="I35" s="118">
        <f t="shared" si="10"/>
        <v>176907.71</v>
      </c>
      <c r="J35" s="118">
        <f t="shared" si="1"/>
        <v>12978474.709999979</v>
      </c>
      <c r="L35"/>
      <c r="M35"/>
      <c r="N35"/>
      <c r="O35"/>
      <c r="P35"/>
      <c r="Q35"/>
      <c r="R35"/>
      <c r="S35"/>
      <c r="T35"/>
      <c r="U35"/>
      <c r="W35" s="139">
        <v>30</v>
      </c>
      <c r="X35" s="118">
        <f t="shared" si="13"/>
        <v>13112273.419999979</v>
      </c>
      <c r="Y35" s="115">
        <f t="shared" si="15"/>
        <v>2019</v>
      </c>
      <c r="Z35" s="142">
        <f>EOMONTH(Założenia_kredyty!$D$5,W35)</f>
        <v>43799</v>
      </c>
      <c r="AA35" s="141">
        <f>HLOOKUP(Y35,Założenia!$I$5:$U$11,7,0)</f>
        <v>0</v>
      </c>
      <c r="AB35" s="143">
        <f t="shared" si="14"/>
        <v>43109</v>
      </c>
      <c r="AC35" s="118">
        <f t="shared" si="5"/>
        <v>133798.71</v>
      </c>
      <c r="AD35" s="118">
        <f t="shared" si="6"/>
        <v>43109</v>
      </c>
      <c r="AE35" s="118">
        <f t="shared" si="7"/>
        <v>176907.71</v>
      </c>
      <c r="AF35" s="118">
        <f t="shared" si="8"/>
        <v>12978474.709999979</v>
      </c>
    </row>
    <row r="36" spans="1:32">
      <c r="A36" s="139">
        <v>31</v>
      </c>
      <c r="B36" s="118">
        <f t="shared" si="16"/>
        <v>12978474.709999979</v>
      </c>
      <c r="C36" s="115">
        <f t="shared" si="0"/>
        <v>2019</v>
      </c>
      <c r="D36" s="142">
        <f>EOMONTH(Założenia_kredyty!$D$5,A36)</f>
        <v>43830</v>
      </c>
      <c r="E36" s="141">
        <f>HLOOKUP(C36,Założenia!$I$5:$U$11,6,0)+Założenia_kredyty!$D$11</f>
        <v>0.04</v>
      </c>
      <c r="F36" s="143">
        <f t="shared" si="9"/>
        <v>44091</v>
      </c>
      <c r="G36" s="118">
        <f>IF(D36&gt;=Założenia_kredyty!$D$6,IF(B36&gt;=Założenia_kredyty!$D$7,Założenia_kredyty!$D$7,B36),0)</f>
        <v>133798.71</v>
      </c>
      <c r="H36" s="118">
        <f>IF(Założenia_kredyty!$D$9="TAK",IF(D36=Założenia_kredyty!$D$6,SUM(Obliczenia_kredyty!F$5:F36),IF(D36&lt;Założenia_kredyty!$D$6,0,F36)),F36)</f>
        <v>44091</v>
      </c>
      <c r="I36" s="118">
        <f t="shared" si="10"/>
        <v>177889.71</v>
      </c>
      <c r="J36" s="118">
        <f t="shared" si="1"/>
        <v>12844675.999999978</v>
      </c>
      <c r="L36"/>
      <c r="M36"/>
      <c r="N36"/>
      <c r="O36"/>
      <c r="P36"/>
      <c r="Q36"/>
      <c r="R36"/>
      <c r="S36"/>
      <c r="T36"/>
      <c r="U36"/>
      <c r="W36" s="139">
        <v>31</v>
      </c>
      <c r="X36" s="118">
        <f t="shared" si="13"/>
        <v>12978474.709999979</v>
      </c>
      <c r="Y36" s="115">
        <f t="shared" si="15"/>
        <v>2019</v>
      </c>
      <c r="Z36" s="142">
        <f>EOMONTH(Założenia_kredyty!$D$5,W36)</f>
        <v>43830</v>
      </c>
      <c r="AA36" s="141">
        <f>HLOOKUP(Y36,Założenia!$I$5:$U$11,7,0)</f>
        <v>0</v>
      </c>
      <c r="AB36" s="143">
        <f t="shared" si="14"/>
        <v>44091</v>
      </c>
      <c r="AC36" s="118">
        <f t="shared" si="5"/>
        <v>133798.71</v>
      </c>
      <c r="AD36" s="118">
        <f t="shared" si="6"/>
        <v>44091</v>
      </c>
      <c r="AE36" s="118">
        <f t="shared" si="7"/>
        <v>177889.71</v>
      </c>
      <c r="AF36" s="118">
        <f t="shared" si="8"/>
        <v>12844675.999999978</v>
      </c>
    </row>
    <row r="37" spans="1:32">
      <c r="A37" s="139">
        <v>32</v>
      </c>
      <c r="B37" s="118">
        <f t="shared" si="16"/>
        <v>12844675.999999978</v>
      </c>
      <c r="C37" s="115">
        <f t="shared" ref="C37:C68" si="17">YEAR(D37)</f>
        <v>2020</v>
      </c>
      <c r="D37" s="142">
        <f>EOMONTH(Założenia_kredyty!$D$5,A37)</f>
        <v>43861</v>
      </c>
      <c r="E37" s="141">
        <f>HLOOKUP(C37,Założenia!$I$5:$U$11,6,0)+Założenia_kredyty!$D$11</f>
        <v>4.8500000000000001E-2</v>
      </c>
      <c r="F37" s="143">
        <f t="shared" si="9"/>
        <v>52910</v>
      </c>
      <c r="G37" s="118">
        <f>IF(D37&gt;=Założenia_kredyty!$D$6,IF(B37&gt;=Założenia_kredyty!$D$7,Założenia_kredyty!$D$7,B37),0)</f>
        <v>133798.71</v>
      </c>
      <c r="H37" s="118">
        <f>IF(Założenia_kredyty!$D$9="TAK",IF(D37=Założenia_kredyty!$D$6,SUM(Obliczenia_kredyty!F$5:F37),IF(D37&lt;Założenia_kredyty!$D$6,0,F37)),F37)</f>
        <v>52910</v>
      </c>
      <c r="I37" s="118">
        <f t="shared" si="10"/>
        <v>186708.71</v>
      </c>
      <c r="J37" s="118">
        <f t="shared" ref="J37:J68" si="18">B37-G37</f>
        <v>12710877.289999977</v>
      </c>
      <c r="L37"/>
      <c r="M37"/>
      <c r="N37"/>
      <c r="O37"/>
      <c r="P37"/>
      <c r="Q37"/>
      <c r="R37"/>
      <c r="S37"/>
      <c r="T37"/>
      <c r="U37"/>
      <c r="W37" s="139">
        <v>32</v>
      </c>
      <c r="X37" s="118">
        <f t="shared" si="13"/>
        <v>12844675.999999978</v>
      </c>
      <c r="Y37" s="115">
        <f t="shared" si="15"/>
        <v>2020</v>
      </c>
      <c r="Z37" s="142">
        <f>EOMONTH(Założenia_kredyty!$D$5,W37)</f>
        <v>43861</v>
      </c>
      <c r="AA37" s="141">
        <f>HLOOKUP(Y37,Założenia!$I$5:$U$11,7,0)</f>
        <v>0</v>
      </c>
      <c r="AB37" s="143">
        <f t="shared" si="14"/>
        <v>52910</v>
      </c>
      <c r="AC37" s="118">
        <f t="shared" si="5"/>
        <v>133798.71</v>
      </c>
      <c r="AD37" s="118">
        <f t="shared" si="6"/>
        <v>52910</v>
      </c>
      <c r="AE37" s="118">
        <f t="shared" si="7"/>
        <v>186708.71</v>
      </c>
      <c r="AF37" s="118">
        <f t="shared" si="8"/>
        <v>12710877.289999977</v>
      </c>
    </row>
    <row r="38" spans="1:32">
      <c r="A38" s="139">
        <v>33</v>
      </c>
      <c r="B38" s="118">
        <f t="shared" si="16"/>
        <v>12710877.289999977</v>
      </c>
      <c r="C38" s="115">
        <f t="shared" si="17"/>
        <v>2020</v>
      </c>
      <c r="D38" s="142">
        <f>EOMONTH(Założenia_kredyty!$D$5,A38)</f>
        <v>43890</v>
      </c>
      <c r="E38" s="141">
        <f>HLOOKUP(C38,Założenia!$I$5:$U$11,6,0)+Założenia_kredyty!$D$11</f>
        <v>4.8500000000000001E-2</v>
      </c>
      <c r="F38" s="143">
        <f t="shared" ref="F38:F69" si="19">ROUND(J37*E38*(D38-D37)/365,0)</f>
        <v>48980</v>
      </c>
      <c r="G38" s="118">
        <f>IF(D38&gt;=Założenia_kredyty!$D$6,IF(B38&gt;=Założenia_kredyty!$D$7,Założenia_kredyty!$D$7,B38),0)</f>
        <v>133798.71</v>
      </c>
      <c r="H38" s="118">
        <f>IF(Założenia_kredyty!$D$9="TAK",IF(D38=Założenia_kredyty!$D$6,SUM(Obliczenia_kredyty!F$5:F38),IF(D38&lt;Założenia_kredyty!$D$6,0,F38)),F38)</f>
        <v>48980</v>
      </c>
      <c r="I38" s="118">
        <f t="shared" ref="I38:I69" si="20">G38+H38</f>
        <v>182778.71</v>
      </c>
      <c r="J38" s="118">
        <f t="shared" si="18"/>
        <v>12577078.579999976</v>
      </c>
      <c r="L38"/>
      <c r="M38"/>
      <c r="N38"/>
      <c r="O38"/>
      <c r="P38"/>
      <c r="Q38"/>
      <c r="R38"/>
      <c r="S38"/>
      <c r="T38"/>
      <c r="U38"/>
      <c r="W38" s="139">
        <v>33</v>
      </c>
      <c r="X38" s="118">
        <f t="shared" si="13"/>
        <v>12710877.289999977</v>
      </c>
      <c r="Y38" s="115">
        <f t="shared" si="15"/>
        <v>2020</v>
      </c>
      <c r="Z38" s="142">
        <f>EOMONTH(Założenia_kredyty!$D$5,W38)</f>
        <v>43890</v>
      </c>
      <c r="AA38" s="141">
        <f>HLOOKUP(Y38,Założenia!$I$5:$U$11,7,0)</f>
        <v>0</v>
      </c>
      <c r="AB38" s="143">
        <f t="shared" si="14"/>
        <v>48980</v>
      </c>
      <c r="AC38" s="118">
        <f t="shared" si="5"/>
        <v>133798.71</v>
      </c>
      <c r="AD38" s="118">
        <f t="shared" si="6"/>
        <v>48980</v>
      </c>
      <c r="AE38" s="118">
        <f t="shared" si="7"/>
        <v>182778.71</v>
      </c>
      <c r="AF38" s="118">
        <f t="shared" si="8"/>
        <v>12577078.579999976</v>
      </c>
    </row>
    <row r="39" spans="1:32">
      <c r="A39" s="139">
        <v>34</v>
      </c>
      <c r="B39" s="118">
        <f t="shared" si="16"/>
        <v>12577078.579999976</v>
      </c>
      <c r="C39" s="115">
        <f t="shared" si="17"/>
        <v>2020</v>
      </c>
      <c r="D39" s="142">
        <f>EOMONTH(Założenia_kredyty!$D$5,A39)</f>
        <v>43921</v>
      </c>
      <c r="E39" s="141">
        <f>HLOOKUP(C39,Założenia!$I$5:$U$11,6,0)+Założenia_kredyty!$D$11</f>
        <v>4.8500000000000001E-2</v>
      </c>
      <c r="F39" s="143">
        <f t="shared" si="19"/>
        <v>51807</v>
      </c>
      <c r="G39" s="118">
        <f>IF(D39&gt;=Założenia_kredyty!$D$6,IF(B39&gt;=Założenia_kredyty!$D$7,Założenia_kredyty!$D$7,B39),0)</f>
        <v>133798.71</v>
      </c>
      <c r="H39" s="118">
        <f>IF(Założenia_kredyty!$D$9="TAK",IF(D39=Założenia_kredyty!$D$6,SUM(Obliczenia_kredyty!F$5:F39),IF(D39&lt;Założenia_kredyty!$D$6,0,F39)),F39)</f>
        <v>51807</v>
      </c>
      <c r="I39" s="118">
        <f t="shared" si="20"/>
        <v>185605.71</v>
      </c>
      <c r="J39" s="118">
        <f t="shared" si="18"/>
        <v>12443279.869999975</v>
      </c>
      <c r="L39"/>
      <c r="M39"/>
      <c r="N39"/>
      <c r="O39"/>
      <c r="P39"/>
      <c r="Q39"/>
      <c r="R39"/>
      <c r="S39"/>
      <c r="T39"/>
      <c r="U39"/>
      <c r="W39" s="139">
        <v>34</v>
      </c>
      <c r="X39" s="118">
        <f t="shared" si="13"/>
        <v>12577078.579999976</v>
      </c>
      <c r="Y39" s="115">
        <f t="shared" si="15"/>
        <v>2020</v>
      </c>
      <c r="Z39" s="142">
        <f>EOMONTH(Założenia_kredyty!$D$5,W39)</f>
        <v>43921</v>
      </c>
      <c r="AA39" s="141">
        <f>HLOOKUP(Y39,Założenia!$I$5:$U$11,7,0)</f>
        <v>0</v>
      </c>
      <c r="AB39" s="143">
        <f t="shared" si="14"/>
        <v>51807</v>
      </c>
      <c r="AC39" s="118">
        <f t="shared" si="5"/>
        <v>133798.71</v>
      </c>
      <c r="AD39" s="118">
        <f t="shared" si="6"/>
        <v>51807</v>
      </c>
      <c r="AE39" s="118">
        <f t="shared" si="7"/>
        <v>185605.71</v>
      </c>
      <c r="AF39" s="118">
        <f t="shared" si="8"/>
        <v>12443279.869999975</v>
      </c>
    </row>
    <row r="40" spans="1:32">
      <c r="A40" s="139">
        <v>35</v>
      </c>
      <c r="B40" s="118">
        <f t="shared" si="16"/>
        <v>12443279.869999975</v>
      </c>
      <c r="C40" s="115">
        <f t="shared" si="17"/>
        <v>2020</v>
      </c>
      <c r="D40" s="142">
        <f>EOMONTH(Założenia_kredyty!$D$5,A40)</f>
        <v>43951</v>
      </c>
      <c r="E40" s="141">
        <f>HLOOKUP(C40,Założenia!$I$5:$U$11,6,0)+Założenia_kredyty!$D$11</f>
        <v>4.8500000000000001E-2</v>
      </c>
      <c r="F40" s="143">
        <f t="shared" si="19"/>
        <v>49603</v>
      </c>
      <c r="G40" s="118">
        <f>IF(D40&gt;=Założenia_kredyty!$D$6,IF(B40&gt;=Założenia_kredyty!$D$7,Założenia_kredyty!$D$7,B40),0)</f>
        <v>133798.71</v>
      </c>
      <c r="H40" s="118">
        <f>IF(Założenia_kredyty!$D$9="TAK",IF(D40=Założenia_kredyty!$D$6,SUM(Obliczenia_kredyty!F$5:F40),IF(D40&lt;Założenia_kredyty!$D$6,0,F40)),F40)</f>
        <v>49603</v>
      </c>
      <c r="I40" s="118">
        <f t="shared" si="20"/>
        <v>183401.71</v>
      </c>
      <c r="J40" s="118">
        <f t="shared" si="18"/>
        <v>12309481.159999974</v>
      </c>
      <c r="L40"/>
      <c r="M40"/>
      <c r="N40"/>
      <c r="O40"/>
      <c r="P40"/>
      <c r="Q40"/>
      <c r="R40"/>
      <c r="S40"/>
      <c r="T40"/>
      <c r="U40"/>
      <c r="W40" s="139">
        <v>35</v>
      </c>
      <c r="X40" s="118">
        <f t="shared" si="13"/>
        <v>12443279.869999975</v>
      </c>
      <c r="Y40" s="115">
        <f t="shared" si="15"/>
        <v>2020</v>
      </c>
      <c r="Z40" s="142">
        <f>EOMONTH(Założenia_kredyty!$D$5,W40)</f>
        <v>43951</v>
      </c>
      <c r="AA40" s="141">
        <f>HLOOKUP(Y40,Założenia!$I$5:$U$11,7,0)</f>
        <v>0</v>
      </c>
      <c r="AB40" s="143">
        <f t="shared" si="14"/>
        <v>49603</v>
      </c>
      <c r="AC40" s="118">
        <f t="shared" si="5"/>
        <v>133798.71</v>
      </c>
      <c r="AD40" s="118">
        <f t="shared" si="6"/>
        <v>49603</v>
      </c>
      <c r="AE40" s="118">
        <f t="shared" si="7"/>
        <v>183401.71</v>
      </c>
      <c r="AF40" s="118">
        <f t="shared" si="8"/>
        <v>12309481.159999974</v>
      </c>
    </row>
    <row r="41" spans="1:32">
      <c r="A41" s="139">
        <v>36</v>
      </c>
      <c r="B41" s="118">
        <f t="shared" si="16"/>
        <v>12309481.159999974</v>
      </c>
      <c r="C41" s="115">
        <f t="shared" si="17"/>
        <v>2020</v>
      </c>
      <c r="D41" s="142">
        <f>EOMONTH(Założenia_kredyty!$D$5,A41)</f>
        <v>43982</v>
      </c>
      <c r="E41" s="141">
        <f>HLOOKUP(C41,Założenia!$I$5:$U$11,6,0)+Założenia_kredyty!$D$11</f>
        <v>4.8500000000000001E-2</v>
      </c>
      <c r="F41" s="143">
        <f t="shared" si="19"/>
        <v>50705</v>
      </c>
      <c r="G41" s="118">
        <f>IF(D41&gt;=Założenia_kredyty!$D$6,IF(B41&gt;=Założenia_kredyty!$D$7,Założenia_kredyty!$D$7,B41),0)</f>
        <v>133798.71</v>
      </c>
      <c r="H41" s="118">
        <f>IF(Założenia_kredyty!$D$9="TAK",IF(D41=Założenia_kredyty!$D$6,SUM(Obliczenia_kredyty!F$5:F41),IF(D41&lt;Założenia_kredyty!$D$6,0,F41)),F41)</f>
        <v>50705</v>
      </c>
      <c r="I41" s="118">
        <f t="shared" si="20"/>
        <v>184503.71</v>
      </c>
      <c r="J41" s="118">
        <f t="shared" si="18"/>
        <v>12175682.449999973</v>
      </c>
      <c r="L41"/>
      <c r="M41"/>
      <c r="N41"/>
      <c r="O41"/>
      <c r="P41"/>
      <c r="Q41"/>
      <c r="R41"/>
      <c r="S41"/>
      <c r="T41"/>
      <c r="U41"/>
      <c r="W41" s="139">
        <v>36</v>
      </c>
      <c r="X41" s="118">
        <f t="shared" si="13"/>
        <v>12309481.159999974</v>
      </c>
      <c r="Y41" s="115">
        <f t="shared" si="15"/>
        <v>2020</v>
      </c>
      <c r="Z41" s="142">
        <f>EOMONTH(Założenia_kredyty!$D$5,W41)</f>
        <v>43982</v>
      </c>
      <c r="AA41" s="141">
        <f>HLOOKUP(Y41,Założenia!$I$5:$U$11,7,0)</f>
        <v>0</v>
      </c>
      <c r="AB41" s="143">
        <f t="shared" si="14"/>
        <v>50705</v>
      </c>
      <c r="AC41" s="118">
        <f t="shared" si="5"/>
        <v>133798.71</v>
      </c>
      <c r="AD41" s="118">
        <f t="shared" si="6"/>
        <v>50705</v>
      </c>
      <c r="AE41" s="118">
        <f t="shared" si="7"/>
        <v>184503.71</v>
      </c>
      <c r="AF41" s="118">
        <f t="shared" si="8"/>
        <v>12175682.449999973</v>
      </c>
    </row>
    <row r="42" spans="1:32">
      <c r="A42" s="139">
        <v>37</v>
      </c>
      <c r="B42" s="118">
        <f t="shared" si="16"/>
        <v>12175682.449999973</v>
      </c>
      <c r="C42" s="115">
        <f t="shared" si="17"/>
        <v>2020</v>
      </c>
      <c r="D42" s="142">
        <f>EOMONTH(Założenia_kredyty!$D$5,A42)</f>
        <v>44012</v>
      </c>
      <c r="E42" s="141">
        <f>HLOOKUP(C42,Założenia!$I$5:$U$11,6,0)+Założenia_kredyty!$D$11</f>
        <v>4.8500000000000001E-2</v>
      </c>
      <c r="F42" s="143">
        <f t="shared" si="19"/>
        <v>48536</v>
      </c>
      <c r="G42" s="118">
        <f>IF(D42&gt;=Założenia_kredyty!$D$6,IF(B42&gt;=Założenia_kredyty!$D$7,Założenia_kredyty!$D$7,B42),0)</f>
        <v>133798.71</v>
      </c>
      <c r="H42" s="118">
        <f>IF(Założenia_kredyty!$D$9="TAK",IF(D42=Założenia_kredyty!$D$6,SUM(Obliczenia_kredyty!F$5:F42),IF(D42&lt;Założenia_kredyty!$D$6,0,F42)),F42)</f>
        <v>48536</v>
      </c>
      <c r="I42" s="118">
        <f t="shared" si="20"/>
        <v>182334.71</v>
      </c>
      <c r="J42" s="118">
        <f t="shared" si="18"/>
        <v>12041883.739999972</v>
      </c>
      <c r="L42"/>
      <c r="M42"/>
      <c r="N42"/>
      <c r="O42"/>
      <c r="P42"/>
      <c r="Q42"/>
      <c r="R42"/>
      <c r="S42"/>
      <c r="T42"/>
      <c r="U42"/>
      <c r="W42" s="139">
        <v>37</v>
      </c>
      <c r="X42" s="118">
        <f t="shared" si="13"/>
        <v>12175682.449999973</v>
      </c>
      <c r="Y42" s="115">
        <f t="shared" si="15"/>
        <v>2020</v>
      </c>
      <c r="Z42" s="142">
        <f>EOMONTH(Założenia_kredyty!$D$5,W42)</f>
        <v>44012</v>
      </c>
      <c r="AA42" s="141">
        <f>HLOOKUP(Y42,Założenia!$I$5:$U$11,7,0)</f>
        <v>0</v>
      </c>
      <c r="AB42" s="143">
        <f t="shared" si="14"/>
        <v>48536</v>
      </c>
      <c r="AC42" s="118">
        <f t="shared" si="5"/>
        <v>133798.71</v>
      </c>
      <c r="AD42" s="118">
        <f t="shared" si="6"/>
        <v>48536</v>
      </c>
      <c r="AE42" s="118">
        <f t="shared" si="7"/>
        <v>182334.71</v>
      </c>
      <c r="AF42" s="118">
        <f t="shared" si="8"/>
        <v>12041883.739999972</v>
      </c>
    </row>
    <row r="43" spans="1:32">
      <c r="A43" s="139">
        <v>38</v>
      </c>
      <c r="B43" s="118">
        <f t="shared" si="16"/>
        <v>12041883.739999972</v>
      </c>
      <c r="C43" s="115">
        <f t="shared" si="17"/>
        <v>2020</v>
      </c>
      <c r="D43" s="142">
        <f>EOMONTH(Założenia_kredyty!$D$5,A43)</f>
        <v>44043</v>
      </c>
      <c r="E43" s="141">
        <f>HLOOKUP(C43,Założenia!$I$5:$U$11,6,0)+Założenia_kredyty!$D$11</f>
        <v>4.8500000000000001E-2</v>
      </c>
      <c r="F43" s="143">
        <f t="shared" si="19"/>
        <v>49603</v>
      </c>
      <c r="G43" s="118">
        <f>IF(D43&gt;=Założenia_kredyty!$D$6,IF(B43&gt;=Założenia_kredyty!$D$7,Założenia_kredyty!$D$7,B43),0)</f>
        <v>133798.71</v>
      </c>
      <c r="H43" s="118">
        <f>IF(Założenia_kredyty!$D$9="TAK",IF(D43=Założenia_kredyty!$D$6,SUM(Obliczenia_kredyty!F$5:F43),IF(D43&lt;Założenia_kredyty!$D$6,0,F43)),F43)</f>
        <v>49603</v>
      </c>
      <c r="I43" s="118">
        <f t="shared" si="20"/>
        <v>183401.71</v>
      </c>
      <c r="J43" s="118">
        <f t="shared" si="18"/>
        <v>11908085.029999971</v>
      </c>
      <c r="L43"/>
      <c r="M43"/>
      <c r="N43"/>
      <c r="O43"/>
      <c r="P43"/>
      <c r="Q43"/>
      <c r="R43"/>
      <c r="S43"/>
      <c r="T43"/>
      <c r="U43"/>
      <c r="W43" s="139">
        <v>38</v>
      </c>
      <c r="X43" s="118">
        <f t="shared" si="13"/>
        <v>12041883.739999972</v>
      </c>
      <c r="Y43" s="115">
        <f t="shared" si="15"/>
        <v>2020</v>
      </c>
      <c r="Z43" s="142">
        <f>EOMONTH(Założenia_kredyty!$D$5,W43)</f>
        <v>44043</v>
      </c>
      <c r="AA43" s="141">
        <f>HLOOKUP(Y43,Założenia!$I$5:$U$11,7,0)</f>
        <v>0</v>
      </c>
      <c r="AB43" s="143">
        <f t="shared" si="14"/>
        <v>49603</v>
      </c>
      <c r="AC43" s="118">
        <f t="shared" si="5"/>
        <v>133798.71</v>
      </c>
      <c r="AD43" s="118">
        <f t="shared" si="6"/>
        <v>49603</v>
      </c>
      <c r="AE43" s="118">
        <f t="shared" si="7"/>
        <v>183401.71</v>
      </c>
      <c r="AF43" s="118">
        <f t="shared" si="8"/>
        <v>11908085.029999971</v>
      </c>
    </row>
    <row r="44" spans="1:32">
      <c r="A44" s="139">
        <v>39</v>
      </c>
      <c r="B44" s="118">
        <f t="shared" si="16"/>
        <v>11908085.029999971</v>
      </c>
      <c r="C44" s="115">
        <f t="shared" si="17"/>
        <v>2020</v>
      </c>
      <c r="D44" s="142">
        <f>EOMONTH(Założenia_kredyty!$D$5,A44)</f>
        <v>44074</v>
      </c>
      <c r="E44" s="141">
        <f>HLOOKUP(C44,Założenia!$I$5:$U$11,6,0)+Założenia_kredyty!$D$11</f>
        <v>4.8500000000000001E-2</v>
      </c>
      <c r="F44" s="143">
        <f t="shared" si="19"/>
        <v>49052</v>
      </c>
      <c r="G44" s="118">
        <f>IF(D44&gt;=Założenia_kredyty!$D$6,IF(B44&gt;=Założenia_kredyty!$D$7,Założenia_kredyty!$D$7,B44),0)</f>
        <v>133798.71</v>
      </c>
      <c r="H44" s="118">
        <f>IF(Założenia_kredyty!$D$9="TAK",IF(D44=Założenia_kredyty!$D$6,SUM(Obliczenia_kredyty!F$5:F44),IF(D44&lt;Założenia_kredyty!$D$6,0,F44)),F44)</f>
        <v>49052</v>
      </c>
      <c r="I44" s="118">
        <f t="shared" si="20"/>
        <v>182850.71</v>
      </c>
      <c r="J44" s="118">
        <f t="shared" si="18"/>
        <v>11774286.31999997</v>
      </c>
      <c r="L44"/>
      <c r="M44"/>
      <c r="N44"/>
      <c r="O44"/>
      <c r="P44"/>
      <c r="Q44"/>
      <c r="R44"/>
      <c r="S44"/>
      <c r="T44"/>
      <c r="U44"/>
      <c r="W44" s="139">
        <v>39</v>
      </c>
      <c r="X44" s="118">
        <f t="shared" si="13"/>
        <v>11908085.029999971</v>
      </c>
      <c r="Y44" s="115">
        <f t="shared" si="15"/>
        <v>2020</v>
      </c>
      <c r="Z44" s="142">
        <f>EOMONTH(Założenia_kredyty!$D$5,W44)</f>
        <v>44074</v>
      </c>
      <c r="AA44" s="141">
        <f>HLOOKUP(Y44,Założenia!$I$5:$U$11,7,0)</f>
        <v>0</v>
      </c>
      <c r="AB44" s="143">
        <f t="shared" si="14"/>
        <v>49052</v>
      </c>
      <c r="AC44" s="118">
        <f t="shared" si="5"/>
        <v>133798.71</v>
      </c>
      <c r="AD44" s="118">
        <f t="shared" si="6"/>
        <v>49052</v>
      </c>
      <c r="AE44" s="118">
        <f t="shared" si="7"/>
        <v>182850.71</v>
      </c>
      <c r="AF44" s="118">
        <f t="shared" si="8"/>
        <v>11774286.31999997</v>
      </c>
    </row>
    <row r="45" spans="1:32">
      <c r="A45" s="139">
        <v>40</v>
      </c>
      <c r="B45" s="118">
        <f t="shared" si="16"/>
        <v>11774286.31999997</v>
      </c>
      <c r="C45" s="115">
        <f t="shared" si="17"/>
        <v>2020</v>
      </c>
      <c r="D45" s="142">
        <f>EOMONTH(Założenia_kredyty!$D$5,A45)</f>
        <v>44104</v>
      </c>
      <c r="E45" s="141">
        <f>HLOOKUP(C45,Założenia!$I$5:$U$11,6,0)+Założenia_kredyty!$D$11</f>
        <v>4.8500000000000001E-2</v>
      </c>
      <c r="F45" s="143">
        <f t="shared" si="19"/>
        <v>46936</v>
      </c>
      <c r="G45" s="118">
        <f>IF(D45&gt;=Założenia_kredyty!$D$6,IF(B45&gt;=Założenia_kredyty!$D$7,Założenia_kredyty!$D$7,B45),0)</f>
        <v>133798.71</v>
      </c>
      <c r="H45" s="118">
        <f>IF(Założenia_kredyty!$D$9="TAK",IF(D45=Założenia_kredyty!$D$6,SUM(Obliczenia_kredyty!F$5:F45),IF(D45&lt;Założenia_kredyty!$D$6,0,F45)),F45)</f>
        <v>46936</v>
      </c>
      <c r="I45" s="118">
        <f t="shared" si="20"/>
        <v>180734.71</v>
      </c>
      <c r="J45" s="118">
        <f t="shared" si="18"/>
        <v>11640487.60999997</v>
      </c>
      <c r="L45"/>
      <c r="M45"/>
      <c r="N45"/>
      <c r="O45"/>
      <c r="P45"/>
      <c r="Q45"/>
      <c r="R45"/>
      <c r="S45"/>
      <c r="T45"/>
      <c r="U45"/>
      <c r="W45" s="139">
        <v>40</v>
      </c>
      <c r="X45" s="118">
        <f t="shared" si="13"/>
        <v>11774286.31999997</v>
      </c>
      <c r="Y45" s="115">
        <f t="shared" si="15"/>
        <v>2020</v>
      </c>
      <c r="Z45" s="142">
        <f>EOMONTH(Założenia_kredyty!$D$5,W45)</f>
        <v>44104</v>
      </c>
      <c r="AA45" s="141">
        <f>HLOOKUP(Y45,Założenia!$I$5:$U$11,7,0)</f>
        <v>0</v>
      </c>
      <c r="AB45" s="143">
        <f t="shared" si="14"/>
        <v>46936</v>
      </c>
      <c r="AC45" s="118">
        <f t="shared" si="5"/>
        <v>133798.71</v>
      </c>
      <c r="AD45" s="118">
        <f t="shared" si="6"/>
        <v>46936</v>
      </c>
      <c r="AE45" s="118">
        <f t="shared" si="7"/>
        <v>180734.71</v>
      </c>
      <c r="AF45" s="118">
        <f t="shared" si="8"/>
        <v>11640487.60999997</v>
      </c>
    </row>
    <row r="46" spans="1:32">
      <c r="A46" s="139">
        <v>41</v>
      </c>
      <c r="B46" s="118">
        <f t="shared" si="16"/>
        <v>11640487.60999997</v>
      </c>
      <c r="C46" s="115">
        <f t="shared" si="17"/>
        <v>2020</v>
      </c>
      <c r="D46" s="142">
        <f>EOMONTH(Założenia_kredyty!$D$5,A46)</f>
        <v>44135</v>
      </c>
      <c r="E46" s="141">
        <f>HLOOKUP(C46,Założenia!$I$5:$U$11,6,0)+Założenia_kredyty!$D$11</f>
        <v>4.8500000000000001E-2</v>
      </c>
      <c r="F46" s="143">
        <f t="shared" si="19"/>
        <v>47949</v>
      </c>
      <c r="G46" s="118">
        <f>IF(D46&gt;=Założenia_kredyty!$D$6,IF(B46&gt;=Założenia_kredyty!$D$7,Założenia_kredyty!$D$7,B46),0)</f>
        <v>133798.71</v>
      </c>
      <c r="H46" s="118">
        <f>IF(Założenia_kredyty!$D$9="TAK",IF(D46=Założenia_kredyty!$D$6,SUM(Obliczenia_kredyty!F$5:F46),IF(D46&lt;Założenia_kredyty!$D$6,0,F46)),F46)</f>
        <v>47949</v>
      </c>
      <c r="I46" s="118">
        <f t="shared" si="20"/>
        <v>181747.71</v>
      </c>
      <c r="J46" s="118">
        <f t="shared" si="18"/>
        <v>11506688.899999969</v>
      </c>
      <c r="L46"/>
      <c r="M46"/>
      <c r="N46"/>
      <c r="O46"/>
      <c r="P46"/>
      <c r="Q46"/>
      <c r="R46"/>
      <c r="S46"/>
      <c r="T46"/>
      <c r="U46"/>
      <c r="W46" s="139">
        <v>41</v>
      </c>
      <c r="X46" s="118">
        <f t="shared" si="13"/>
        <v>11640487.60999997</v>
      </c>
      <c r="Y46" s="115">
        <f t="shared" si="15"/>
        <v>2020</v>
      </c>
      <c r="Z46" s="142">
        <f>EOMONTH(Założenia_kredyty!$D$5,W46)</f>
        <v>44135</v>
      </c>
      <c r="AA46" s="141">
        <f>HLOOKUP(Y46,Założenia!$I$5:$U$11,7,0)</f>
        <v>0</v>
      </c>
      <c r="AB46" s="143">
        <f t="shared" si="14"/>
        <v>47949</v>
      </c>
      <c r="AC46" s="118">
        <f t="shared" si="5"/>
        <v>133798.71</v>
      </c>
      <c r="AD46" s="118">
        <f t="shared" si="6"/>
        <v>47949</v>
      </c>
      <c r="AE46" s="118">
        <f t="shared" si="7"/>
        <v>181747.71</v>
      </c>
      <c r="AF46" s="118">
        <f t="shared" si="8"/>
        <v>11506688.899999969</v>
      </c>
    </row>
    <row r="47" spans="1:32">
      <c r="A47" s="139">
        <v>42</v>
      </c>
      <c r="B47" s="118">
        <f t="shared" si="16"/>
        <v>11506688.899999969</v>
      </c>
      <c r="C47" s="115">
        <f t="shared" si="17"/>
        <v>2020</v>
      </c>
      <c r="D47" s="142">
        <f>EOMONTH(Założenia_kredyty!$D$5,A47)</f>
        <v>44165</v>
      </c>
      <c r="E47" s="141">
        <f>HLOOKUP(C47,Założenia!$I$5:$U$11,6,0)+Założenia_kredyty!$D$11</f>
        <v>4.8500000000000001E-2</v>
      </c>
      <c r="F47" s="143">
        <f t="shared" si="19"/>
        <v>45869</v>
      </c>
      <c r="G47" s="118">
        <f>IF(D47&gt;=Założenia_kredyty!$D$6,IF(B47&gt;=Założenia_kredyty!$D$7,Założenia_kredyty!$D$7,B47),0)</f>
        <v>133798.71</v>
      </c>
      <c r="H47" s="118">
        <f>IF(Założenia_kredyty!$D$9="TAK",IF(D47=Założenia_kredyty!$D$6,SUM(Obliczenia_kredyty!F$5:F47),IF(D47&lt;Założenia_kredyty!$D$6,0,F47)),F47)</f>
        <v>45869</v>
      </c>
      <c r="I47" s="118">
        <f t="shared" si="20"/>
        <v>179667.71</v>
      </c>
      <c r="J47" s="118">
        <f t="shared" si="18"/>
        <v>11372890.189999968</v>
      </c>
      <c r="L47"/>
      <c r="M47"/>
      <c r="N47"/>
      <c r="O47"/>
      <c r="P47"/>
      <c r="Q47"/>
      <c r="R47"/>
      <c r="S47"/>
      <c r="T47"/>
      <c r="U47"/>
      <c r="W47" s="139">
        <v>42</v>
      </c>
      <c r="X47" s="118">
        <f t="shared" si="13"/>
        <v>11506688.899999969</v>
      </c>
      <c r="Y47" s="115">
        <f t="shared" si="15"/>
        <v>2020</v>
      </c>
      <c r="Z47" s="142">
        <f>EOMONTH(Założenia_kredyty!$D$5,W47)</f>
        <v>44165</v>
      </c>
      <c r="AA47" s="141">
        <f>HLOOKUP(Y47,Założenia!$I$5:$U$11,7,0)</f>
        <v>0</v>
      </c>
      <c r="AB47" s="143">
        <f t="shared" si="14"/>
        <v>45869</v>
      </c>
      <c r="AC47" s="118">
        <f t="shared" si="5"/>
        <v>133798.71</v>
      </c>
      <c r="AD47" s="118">
        <f t="shared" si="6"/>
        <v>45869</v>
      </c>
      <c r="AE47" s="118">
        <f t="shared" si="7"/>
        <v>179667.71</v>
      </c>
      <c r="AF47" s="118">
        <f t="shared" si="8"/>
        <v>11372890.189999968</v>
      </c>
    </row>
    <row r="48" spans="1:32">
      <c r="A48" s="139">
        <v>43</v>
      </c>
      <c r="B48" s="118">
        <f t="shared" si="16"/>
        <v>11372890.189999968</v>
      </c>
      <c r="C48" s="115">
        <f t="shared" si="17"/>
        <v>2020</v>
      </c>
      <c r="D48" s="142">
        <f>EOMONTH(Założenia_kredyty!$D$5,A48)</f>
        <v>44196</v>
      </c>
      <c r="E48" s="141">
        <f>HLOOKUP(C48,Założenia!$I$5:$U$11,6,0)+Założenia_kredyty!$D$11</f>
        <v>4.8500000000000001E-2</v>
      </c>
      <c r="F48" s="143">
        <f t="shared" si="19"/>
        <v>46847</v>
      </c>
      <c r="G48" s="118">
        <f>IF(D48&gt;=Założenia_kredyty!$D$6,IF(B48&gt;=Założenia_kredyty!$D$7,Założenia_kredyty!$D$7,B48),0)</f>
        <v>133798.71</v>
      </c>
      <c r="H48" s="118">
        <f>IF(Założenia_kredyty!$D$9="TAK",IF(D48=Założenia_kredyty!$D$6,SUM(Obliczenia_kredyty!F$5:F48),IF(D48&lt;Założenia_kredyty!$D$6,0,F48)),F48)</f>
        <v>46847</v>
      </c>
      <c r="I48" s="118">
        <f t="shared" si="20"/>
        <v>180645.71</v>
      </c>
      <c r="J48" s="118">
        <f t="shared" si="18"/>
        <v>11239091.479999967</v>
      </c>
      <c r="L48"/>
      <c r="M48"/>
      <c r="N48"/>
      <c r="O48"/>
      <c r="P48"/>
      <c r="Q48"/>
      <c r="R48"/>
      <c r="S48"/>
      <c r="T48"/>
      <c r="U48"/>
      <c r="W48" s="139">
        <v>43</v>
      </c>
      <c r="X48" s="118">
        <f t="shared" si="13"/>
        <v>11372890.189999968</v>
      </c>
      <c r="Y48" s="115">
        <f t="shared" si="15"/>
        <v>2020</v>
      </c>
      <c r="Z48" s="142">
        <f>EOMONTH(Założenia_kredyty!$D$5,W48)</f>
        <v>44196</v>
      </c>
      <c r="AA48" s="141">
        <f>HLOOKUP(Y48,Założenia!$I$5:$U$11,7,0)</f>
        <v>0</v>
      </c>
      <c r="AB48" s="143">
        <f t="shared" si="14"/>
        <v>46847</v>
      </c>
      <c r="AC48" s="118">
        <f t="shared" si="5"/>
        <v>133798.71</v>
      </c>
      <c r="AD48" s="118">
        <f t="shared" si="6"/>
        <v>46847</v>
      </c>
      <c r="AE48" s="118">
        <f t="shared" si="7"/>
        <v>180645.71</v>
      </c>
      <c r="AF48" s="118">
        <f t="shared" si="8"/>
        <v>11239091.479999967</v>
      </c>
    </row>
    <row r="49" spans="1:32">
      <c r="A49" s="139">
        <v>44</v>
      </c>
      <c r="B49" s="118">
        <f t="shared" si="16"/>
        <v>11239091.479999967</v>
      </c>
      <c r="C49" s="115">
        <f t="shared" si="17"/>
        <v>2021</v>
      </c>
      <c r="D49" s="142">
        <f>EOMONTH(Założenia_kredyty!$D$5,A49)</f>
        <v>44227</v>
      </c>
      <c r="E49" s="141">
        <f>HLOOKUP(C49,Założenia!$I$5:$U$11,6,0)+Założenia_kredyty!$D$11</f>
        <v>5.5000000000000007E-2</v>
      </c>
      <c r="F49" s="143">
        <f t="shared" si="19"/>
        <v>52500</v>
      </c>
      <c r="G49" s="118">
        <f>IF(D49&gt;=Założenia_kredyty!$D$6,IF(B49&gt;=Założenia_kredyty!$D$7,Założenia_kredyty!$D$7,B49),0)</f>
        <v>133798.71</v>
      </c>
      <c r="H49" s="118">
        <f>IF(Założenia_kredyty!$D$9="TAK",IF(D49=Założenia_kredyty!$D$6,SUM(Obliczenia_kredyty!F$5:F49),IF(D49&lt;Założenia_kredyty!$D$6,0,F49)),F49)</f>
        <v>52500</v>
      </c>
      <c r="I49" s="118">
        <f t="shared" si="20"/>
        <v>186298.71</v>
      </c>
      <c r="J49" s="118">
        <f t="shared" si="18"/>
        <v>11105292.769999966</v>
      </c>
      <c r="L49"/>
      <c r="M49"/>
      <c r="N49"/>
      <c r="O49"/>
      <c r="P49"/>
      <c r="Q49"/>
      <c r="R49"/>
      <c r="S49"/>
      <c r="T49"/>
      <c r="U49"/>
      <c r="W49" s="139">
        <v>44</v>
      </c>
      <c r="X49" s="118">
        <f t="shared" si="13"/>
        <v>11239091.479999967</v>
      </c>
      <c r="Y49" s="115">
        <f t="shared" si="15"/>
        <v>2021</v>
      </c>
      <c r="Z49" s="142">
        <f>EOMONTH(Założenia_kredyty!$D$5,W49)</f>
        <v>44227</v>
      </c>
      <c r="AA49" s="141">
        <f>HLOOKUP(Y49,Założenia!$I$5:$U$11,7,0)</f>
        <v>0</v>
      </c>
      <c r="AB49" s="143">
        <f t="shared" si="14"/>
        <v>52500</v>
      </c>
      <c r="AC49" s="118">
        <f t="shared" si="5"/>
        <v>133798.71</v>
      </c>
      <c r="AD49" s="118">
        <f t="shared" si="6"/>
        <v>52500</v>
      </c>
      <c r="AE49" s="118">
        <f t="shared" si="7"/>
        <v>186298.71</v>
      </c>
      <c r="AF49" s="118">
        <f t="shared" si="8"/>
        <v>11105292.769999966</v>
      </c>
    </row>
    <row r="50" spans="1:32">
      <c r="A50" s="139">
        <v>45</v>
      </c>
      <c r="B50" s="118">
        <f t="shared" si="16"/>
        <v>11105292.769999966</v>
      </c>
      <c r="C50" s="115">
        <f t="shared" si="17"/>
        <v>2021</v>
      </c>
      <c r="D50" s="142">
        <f>EOMONTH(Założenia_kredyty!$D$5,A50)</f>
        <v>44255</v>
      </c>
      <c r="E50" s="141">
        <f>HLOOKUP(C50,Założenia!$I$5:$U$11,6,0)+Założenia_kredyty!$D$11</f>
        <v>5.5000000000000007E-2</v>
      </c>
      <c r="F50" s="143">
        <f t="shared" si="19"/>
        <v>46855</v>
      </c>
      <c r="G50" s="118">
        <f>IF(D50&gt;=Założenia_kredyty!$D$6,IF(B50&gt;=Założenia_kredyty!$D$7,Założenia_kredyty!$D$7,B50),0)</f>
        <v>133798.71</v>
      </c>
      <c r="H50" s="118">
        <f>IF(Założenia_kredyty!$D$9="TAK",IF(D50=Założenia_kredyty!$D$6,SUM(Obliczenia_kredyty!F$5:F50),IF(D50&lt;Założenia_kredyty!$D$6,0,F50)),F50)</f>
        <v>46855</v>
      </c>
      <c r="I50" s="118">
        <f t="shared" si="20"/>
        <v>180653.71</v>
      </c>
      <c r="J50" s="118">
        <f t="shared" si="18"/>
        <v>10971494.059999965</v>
      </c>
      <c r="L50"/>
      <c r="M50"/>
      <c r="N50"/>
      <c r="O50"/>
      <c r="P50"/>
      <c r="Q50"/>
      <c r="R50"/>
      <c r="S50"/>
      <c r="T50"/>
      <c r="U50"/>
      <c r="W50" s="139">
        <v>45</v>
      </c>
      <c r="X50" s="118">
        <f t="shared" si="13"/>
        <v>11105292.769999966</v>
      </c>
      <c r="Y50" s="115">
        <f t="shared" si="15"/>
        <v>2021</v>
      </c>
      <c r="Z50" s="142">
        <f>EOMONTH(Założenia_kredyty!$D$5,W50)</f>
        <v>44255</v>
      </c>
      <c r="AA50" s="141">
        <f>HLOOKUP(Y50,Założenia!$I$5:$U$11,7,0)</f>
        <v>0</v>
      </c>
      <c r="AB50" s="143">
        <f t="shared" si="14"/>
        <v>46855</v>
      </c>
      <c r="AC50" s="118">
        <f t="shared" si="5"/>
        <v>133798.71</v>
      </c>
      <c r="AD50" s="118">
        <f t="shared" si="6"/>
        <v>46855</v>
      </c>
      <c r="AE50" s="118">
        <f t="shared" si="7"/>
        <v>180653.71</v>
      </c>
      <c r="AF50" s="118">
        <f t="shared" si="8"/>
        <v>10971494.059999965</v>
      </c>
    </row>
    <row r="51" spans="1:32">
      <c r="A51" s="139">
        <v>46</v>
      </c>
      <c r="B51" s="118">
        <f t="shared" si="16"/>
        <v>10971494.059999965</v>
      </c>
      <c r="C51" s="115">
        <f t="shared" si="17"/>
        <v>2021</v>
      </c>
      <c r="D51" s="142">
        <f>EOMONTH(Założenia_kredyty!$D$5,A51)</f>
        <v>44286</v>
      </c>
      <c r="E51" s="141">
        <f>HLOOKUP(C51,Założenia!$I$5:$U$11,6,0)+Założenia_kredyty!$D$11</f>
        <v>5.5000000000000007E-2</v>
      </c>
      <c r="F51" s="143">
        <f t="shared" si="19"/>
        <v>51250</v>
      </c>
      <c r="G51" s="118">
        <f>IF(D51&gt;=Założenia_kredyty!$D$6,IF(B51&gt;=Założenia_kredyty!$D$7,Założenia_kredyty!$D$7,B51),0)</f>
        <v>133798.71</v>
      </c>
      <c r="H51" s="118">
        <f>IF(Założenia_kredyty!$D$9="TAK",IF(D51=Założenia_kredyty!$D$6,SUM(Obliczenia_kredyty!F$5:F51),IF(D51&lt;Założenia_kredyty!$D$6,0,F51)),F51)</f>
        <v>51250</v>
      </c>
      <c r="I51" s="118">
        <f t="shared" si="20"/>
        <v>185048.71</v>
      </c>
      <c r="J51" s="118">
        <f t="shared" si="18"/>
        <v>10837695.349999964</v>
      </c>
      <c r="L51"/>
      <c r="M51"/>
      <c r="N51"/>
      <c r="O51"/>
      <c r="P51"/>
      <c r="Q51"/>
      <c r="R51"/>
      <c r="S51"/>
      <c r="T51"/>
      <c r="U51"/>
      <c r="W51" s="139">
        <v>46</v>
      </c>
      <c r="X51" s="118">
        <f t="shared" si="13"/>
        <v>10971494.059999965</v>
      </c>
      <c r="Y51" s="115">
        <f t="shared" si="15"/>
        <v>2021</v>
      </c>
      <c r="Z51" s="142">
        <f>EOMONTH(Założenia_kredyty!$D$5,W51)</f>
        <v>44286</v>
      </c>
      <c r="AA51" s="141">
        <f>HLOOKUP(Y51,Założenia!$I$5:$U$11,7,0)</f>
        <v>0</v>
      </c>
      <c r="AB51" s="143">
        <f t="shared" si="14"/>
        <v>51250</v>
      </c>
      <c r="AC51" s="118">
        <f t="shared" si="5"/>
        <v>133798.71</v>
      </c>
      <c r="AD51" s="118">
        <f t="shared" si="6"/>
        <v>51250</v>
      </c>
      <c r="AE51" s="118">
        <f t="shared" si="7"/>
        <v>185048.71</v>
      </c>
      <c r="AF51" s="118">
        <f t="shared" si="8"/>
        <v>10837695.349999964</v>
      </c>
    </row>
    <row r="52" spans="1:32">
      <c r="A52" s="139">
        <v>47</v>
      </c>
      <c r="B52" s="118">
        <f t="shared" ref="B52:B83" si="21">J51</f>
        <v>10837695.349999964</v>
      </c>
      <c r="C52" s="115">
        <f t="shared" si="17"/>
        <v>2021</v>
      </c>
      <c r="D52" s="142">
        <f>EOMONTH(Założenia_kredyty!$D$5,A52)</f>
        <v>44316</v>
      </c>
      <c r="E52" s="141">
        <f>HLOOKUP(C52,Założenia!$I$5:$U$11,6,0)+Założenia_kredyty!$D$11</f>
        <v>5.5000000000000007E-2</v>
      </c>
      <c r="F52" s="143">
        <f t="shared" si="19"/>
        <v>48992</v>
      </c>
      <c r="G52" s="118">
        <f>IF(D52&gt;=Założenia_kredyty!$D$6,IF(B52&gt;=Założenia_kredyty!$D$7,Założenia_kredyty!$D$7,B52),0)</f>
        <v>133798.71</v>
      </c>
      <c r="H52" s="118">
        <f>IF(Założenia_kredyty!$D$9="TAK",IF(D52=Założenia_kredyty!$D$6,SUM(Obliczenia_kredyty!F$5:F52),IF(D52&lt;Założenia_kredyty!$D$6,0,F52)),F52)</f>
        <v>48992</v>
      </c>
      <c r="I52" s="118">
        <f t="shared" si="20"/>
        <v>182790.71</v>
      </c>
      <c r="J52" s="118">
        <f t="shared" si="18"/>
        <v>10703896.639999963</v>
      </c>
      <c r="L52"/>
      <c r="M52"/>
      <c r="N52"/>
      <c r="O52"/>
      <c r="P52"/>
      <c r="Q52"/>
      <c r="R52"/>
      <c r="S52"/>
      <c r="T52"/>
      <c r="U52"/>
      <c r="W52" s="139">
        <v>47</v>
      </c>
      <c r="X52" s="118">
        <f t="shared" si="13"/>
        <v>10837695.349999964</v>
      </c>
      <c r="Y52" s="115">
        <f t="shared" si="15"/>
        <v>2021</v>
      </c>
      <c r="Z52" s="142">
        <f>EOMONTH(Założenia_kredyty!$D$5,W52)</f>
        <v>44316</v>
      </c>
      <c r="AA52" s="141">
        <f>HLOOKUP(Y52,Założenia!$I$5:$U$11,7,0)</f>
        <v>0</v>
      </c>
      <c r="AB52" s="143">
        <f t="shared" si="14"/>
        <v>48992</v>
      </c>
      <c r="AC52" s="118">
        <f t="shared" si="5"/>
        <v>133798.71</v>
      </c>
      <c r="AD52" s="118">
        <f t="shared" si="6"/>
        <v>48992</v>
      </c>
      <c r="AE52" s="118">
        <f t="shared" si="7"/>
        <v>182790.71</v>
      </c>
      <c r="AF52" s="118">
        <f t="shared" si="8"/>
        <v>10703896.639999963</v>
      </c>
    </row>
    <row r="53" spans="1:32">
      <c r="A53" s="139">
        <v>48</v>
      </c>
      <c r="B53" s="118">
        <f t="shared" si="21"/>
        <v>10703896.639999963</v>
      </c>
      <c r="C53" s="115">
        <f t="shared" si="17"/>
        <v>2021</v>
      </c>
      <c r="D53" s="142">
        <f>EOMONTH(Założenia_kredyty!$D$5,A53)</f>
        <v>44347</v>
      </c>
      <c r="E53" s="141">
        <f>HLOOKUP(C53,Założenia!$I$5:$U$11,6,0)+Założenia_kredyty!$D$11</f>
        <v>5.5000000000000007E-2</v>
      </c>
      <c r="F53" s="143">
        <f t="shared" si="19"/>
        <v>50000</v>
      </c>
      <c r="G53" s="118">
        <f>IF(D53&gt;=Założenia_kredyty!$D$6,IF(B53&gt;=Założenia_kredyty!$D$7,Założenia_kredyty!$D$7,B53),0)</f>
        <v>133798.71</v>
      </c>
      <c r="H53" s="118">
        <f>IF(Założenia_kredyty!$D$9="TAK",IF(D53=Założenia_kredyty!$D$6,SUM(Obliczenia_kredyty!F$5:F53),IF(D53&lt;Założenia_kredyty!$D$6,0,F53)),F53)</f>
        <v>50000</v>
      </c>
      <c r="I53" s="118">
        <f t="shared" si="20"/>
        <v>183798.71</v>
      </c>
      <c r="J53" s="118">
        <f t="shared" si="18"/>
        <v>10570097.929999962</v>
      </c>
      <c r="L53"/>
      <c r="M53"/>
      <c r="N53"/>
      <c r="O53"/>
      <c r="P53"/>
      <c r="Q53"/>
      <c r="R53"/>
      <c r="S53"/>
      <c r="T53"/>
      <c r="U53"/>
      <c r="W53" s="139">
        <v>48</v>
      </c>
      <c r="X53" s="118">
        <f t="shared" si="13"/>
        <v>10703896.639999963</v>
      </c>
      <c r="Y53" s="115">
        <f t="shared" si="15"/>
        <v>2021</v>
      </c>
      <c r="Z53" s="142">
        <f>EOMONTH(Założenia_kredyty!$D$5,W53)</f>
        <v>44347</v>
      </c>
      <c r="AA53" s="141">
        <f>HLOOKUP(Y53,Założenia!$I$5:$U$11,7,0)</f>
        <v>0</v>
      </c>
      <c r="AB53" s="143">
        <f t="shared" si="14"/>
        <v>50000</v>
      </c>
      <c r="AC53" s="118">
        <f t="shared" si="5"/>
        <v>133798.71</v>
      </c>
      <c r="AD53" s="118">
        <f t="shared" si="6"/>
        <v>50000</v>
      </c>
      <c r="AE53" s="118">
        <f t="shared" si="7"/>
        <v>183798.71</v>
      </c>
      <c r="AF53" s="118">
        <f t="shared" si="8"/>
        <v>10570097.929999962</v>
      </c>
    </row>
    <row r="54" spans="1:32">
      <c r="A54" s="139">
        <v>49</v>
      </c>
      <c r="B54" s="118">
        <f t="shared" si="21"/>
        <v>10570097.929999962</v>
      </c>
      <c r="C54" s="115">
        <f t="shared" si="17"/>
        <v>2021</v>
      </c>
      <c r="D54" s="142">
        <f>EOMONTH(Założenia_kredyty!$D$5,A54)</f>
        <v>44377</v>
      </c>
      <c r="E54" s="141">
        <f>HLOOKUP(C54,Założenia!$I$5:$U$11,6,0)+Założenia_kredyty!$D$11</f>
        <v>5.5000000000000007E-2</v>
      </c>
      <c r="F54" s="143">
        <f t="shared" si="19"/>
        <v>47783</v>
      </c>
      <c r="G54" s="118">
        <f>IF(D54&gt;=Założenia_kredyty!$D$6,IF(B54&gt;=Założenia_kredyty!$D$7,Założenia_kredyty!$D$7,B54),0)</f>
        <v>133798.71</v>
      </c>
      <c r="H54" s="118">
        <f>IF(Założenia_kredyty!$D$9="TAK",IF(D54=Założenia_kredyty!$D$6,SUM(Obliczenia_kredyty!F$5:F54),IF(D54&lt;Założenia_kredyty!$D$6,0,F54)),F54)</f>
        <v>47783</v>
      </c>
      <c r="I54" s="118">
        <f t="shared" si="20"/>
        <v>181581.71</v>
      </c>
      <c r="J54" s="118">
        <f t="shared" si="18"/>
        <v>10436299.219999962</v>
      </c>
      <c r="L54"/>
      <c r="M54"/>
      <c r="N54"/>
      <c r="O54"/>
      <c r="P54"/>
      <c r="Q54"/>
      <c r="R54"/>
      <c r="S54"/>
      <c r="T54"/>
      <c r="U54"/>
      <c r="W54" s="139">
        <v>49</v>
      </c>
      <c r="X54" s="118">
        <f t="shared" si="13"/>
        <v>10570097.929999962</v>
      </c>
      <c r="Y54" s="115">
        <f t="shared" si="15"/>
        <v>2021</v>
      </c>
      <c r="Z54" s="142">
        <f>EOMONTH(Założenia_kredyty!$D$5,W54)</f>
        <v>44377</v>
      </c>
      <c r="AA54" s="141">
        <f>HLOOKUP(Y54,Założenia!$I$5:$U$11,7,0)</f>
        <v>0</v>
      </c>
      <c r="AB54" s="143">
        <f t="shared" si="14"/>
        <v>47783</v>
      </c>
      <c r="AC54" s="118">
        <f t="shared" si="5"/>
        <v>133798.71</v>
      </c>
      <c r="AD54" s="118">
        <f t="shared" si="6"/>
        <v>47783</v>
      </c>
      <c r="AE54" s="118">
        <f t="shared" si="7"/>
        <v>181581.71</v>
      </c>
      <c r="AF54" s="118">
        <f t="shared" si="8"/>
        <v>10436299.219999962</v>
      </c>
    </row>
    <row r="55" spans="1:32">
      <c r="A55" s="139">
        <v>50</v>
      </c>
      <c r="B55" s="118">
        <f t="shared" si="21"/>
        <v>10436299.219999962</v>
      </c>
      <c r="C55" s="115">
        <f t="shared" si="17"/>
        <v>2021</v>
      </c>
      <c r="D55" s="142">
        <f>EOMONTH(Założenia_kredyty!$D$5,A55)</f>
        <v>44408</v>
      </c>
      <c r="E55" s="141">
        <f>HLOOKUP(C55,Założenia!$I$5:$U$11,6,0)+Założenia_kredyty!$D$11</f>
        <v>5.5000000000000007E-2</v>
      </c>
      <c r="F55" s="143">
        <f t="shared" si="19"/>
        <v>48750</v>
      </c>
      <c r="G55" s="118">
        <f>IF(D55&gt;=Założenia_kredyty!$D$6,IF(B55&gt;=Założenia_kredyty!$D$7,Założenia_kredyty!$D$7,B55),0)</f>
        <v>133798.71</v>
      </c>
      <c r="H55" s="118">
        <f>IF(Założenia_kredyty!$D$9="TAK",IF(D55=Założenia_kredyty!$D$6,SUM(Obliczenia_kredyty!F$5:F55),IF(D55&lt;Założenia_kredyty!$D$6,0,F55)),F55)</f>
        <v>48750</v>
      </c>
      <c r="I55" s="118">
        <f t="shared" si="20"/>
        <v>182548.71</v>
      </c>
      <c r="J55" s="118">
        <f t="shared" si="18"/>
        <v>10302500.509999961</v>
      </c>
      <c r="L55"/>
      <c r="M55"/>
      <c r="N55"/>
      <c r="O55"/>
      <c r="P55"/>
      <c r="Q55"/>
      <c r="R55"/>
      <c r="S55"/>
      <c r="T55"/>
      <c r="U55"/>
      <c r="W55" s="139">
        <v>50</v>
      </c>
      <c r="X55" s="118">
        <f t="shared" si="13"/>
        <v>10436299.219999962</v>
      </c>
      <c r="Y55" s="115">
        <f t="shared" si="15"/>
        <v>2021</v>
      </c>
      <c r="Z55" s="142">
        <f>EOMONTH(Założenia_kredyty!$D$5,W55)</f>
        <v>44408</v>
      </c>
      <c r="AA55" s="141">
        <f>HLOOKUP(Y55,Założenia!$I$5:$U$11,7,0)</f>
        <v>0</v>
      </c>
      <c r="AB55" s="143">
        <f t="shared" si="14"/>
        <v>48750</v>
      </c>
      <c r="AC55" s="118">
        <f t="shared" si="5"/>
        <v>133798.71</v>
      </c>
      <c r="AD55" s="118">
        <f t="shared" si="6"/>
        <v>48750</v>
      </c>
      <c r="AE55" s="118">
        <f t="shared" si="7"/>
        <v>182548.71</v>
      </c>
      <c r="AF55" s="118">
        <f t="shared" si="8"/>
        <v>10302500.509999961</v>
      </c>
    </row>
    <row r="56" spans="1:32">
      <c r="A56" s="139">
        <v>51</v>
      </c>
      <c r="B56" s="118">
        <f t="shared" si="21"/>
        <v>10302500.509999961</v>
      </c>
      <c r="C56" s="115">
        <f t="shared" si="17"/>
        <v>2021</v>
      </c>
      <c r="D56" s="142">
        <f>EOMONTH(Założenia_kredyty!$D$5,A56)</f>
        <v>44439</v>
      </c>
      <c r="E56" s="141">
        <f>HLOOKUP(C56,Założenia!$I$5:$U$11,6,0)+Założenia_kredyty!$D$11</f>
        <v>5.5000000000000007E-2</v>
      </c>
      <c r="F56" s="143">
        <f t="shared" si="19"/>
        <v>48125</v>
      </c>
      <c r="G56" s="118">
        <f>IF(D56&gt;=Założenia_kredyty!$D$6,IF(B56&gt;=Założenia_kredyty!$D$7,Założenia_kredyty!$D$7,B56),0)</f>
        <v>133798.71</v>
      </c>
      <c r="H56" s="118">
        <f>IF(Założenia_kredyty!$D$9="TAK",IF(D56=Założenia_kredyty!$D$6,SUM(Obliczenia_kredyty!F$5:F56),IF(D56&lt;Założenia_kredyty!$D$6,0,F56)),F56)</f>
        <v>48125</v>
      </c>
      <c r="I56" s="118">
        <f t="shared" si="20"/>
        <v>181923.71</v>
      </c>
      <c r="J56" s="118">
        <f t="shared" si="18"/>
        <v>10168701.79999996</v>
      </c>
      <c r="L56"/>
      <c r="M56"/>
      <c r="N56"/>
      <c r="O56"/>
      <c r="P56"/>
      <c r="Q56"/>
      <c r="R56"/>
      <c r="S56"/>
      <c r="T56"/>
      <c r="U56"/>
      <c r="W56" s="139">
        <v>51</v>
      </c>
      <c r="X56" s="118">
        <f t="shared" si="13"/>
        <v>10302500.509999961</v>
      </c>
      <c r="Y56" s="115">
        <f t="shared" si="15"/>
        <v>2021</v>
      </c>
      <c r="Z56" s="142">
        <f>EOMONTH(Założenia_kredyty!$D$5,W56)</f>
        <v>44439</v>
      </c>
      <c r="AA56" s="141">
        <f>HLOOKUP(Y56,Założenia!$I$5:$U$11,7,0)</f>
        <v>0</v>
      </c>
      <c r="AB56" s="143">
        <f t="shared" si="14"/>
        <v>48125</v>
      </c>
      <c r="AC56" s="118">
        <f t="shared" si="5"/>
        <v>133798.71</v>
      </c>
      <c r="AD56" s="118">
        <f t="shared" si="6"/>
        <v>48125</v>
      </c>
      <c r="AE56" s="118">
        <f t="shared" si="7"/>
        <v>181923.71</v>
      </c>
      <c r="AF56" s="118">
        <f t="shared" si="8"/>
        <v>10168701.79999996</v>
      </c>
    </row>
    <row r="57" spans="1:32">
      <c r="A57" s="139">
        <v>52</v>
      </c>
      <c r="B57" s="118">
        <f t="shared" si="21"/>
        <v>10168701.79999996</v>
      </c>
      <c r="C57" s="115">
        <f t="shared" si="17"/>
        <v>2021</v>
      </c>
      <c r="D57" s="142">
        <f>EOMONTH(Założenia_kredyty!$D$5,A57)</f>
        <v>44469</v>
      </c>
      <c r="E57" s="141">
        <f>HLOOKUP(C57,Założenia!$I$5:$U$11,6,0)+Założenia_kredyty!$D$11</f>
        <v>5.5000000000000007E-2</v>
      </c>
      <c r="F57" s="143">
        <f t="shared" si="19"/>
        <v>45968</v>
      </c>
      <c r="G57" s="118">
        <f>IF(D57&gt;=Założenia_kredyty!$D$6,IF(B57&gt;=Założenia_kredyty!$D$7,Założenia_kredyty!$D$7,B57),0)</f>
        <v>133798.71</v>
      </c>
      <c r="H57" s="118">
        <f>IF(Założenia_kredyty!$D$9="TAK",IF(D57=Założenia_kredyty!$D$6,SUM(Obliczenia_kredyty!F$5:F57),IF(D57&lt;Założenia_kredyty!$D$6,0,F57)),F57)</f>
        <v>45968</v>
      </c>
      <c r="I57" s="118">
        <f t="shared" si="20"/>
        <v>179766.71</v>
      </c>
      <c r="J57" s="118">
        <f t="shared" si="18"/>
        <v>10034903.089999959</v>
      </c>
      <c r="L57"/>
      <c r="M57"/>
      <c r="N57"/>
      <c r="O57"/>
      <c r="P57"/>
      <c r="Q57"/>
      <c r="R57"/>
      <c r="S57"/>
      <c r="T57"/>
      <c r="U57"/>
      <c r="W57" s="139">
        <v>52</v>
      </c>
      <c r="X57" s="118">
        <f t="shared" si="13"/>
        <v>10168701.79999996</v>
      </c>
      <c r="Y57" s="115">
        <f t="shared" si="15"/>
        <v>2021</v>
      </c>
      <c r="Z57" s="142">
        <f>EOMONTH(Założenia_kredyty!$D$5,W57)</f>
        <v>44469</v>
      </c>
      <c r="AA57" s="141">
        <f>HLOOKUP(Y57,Założenia!$I$5:$U$11,7,0)</f>
        <v>0</v>
      </c>
      <c r="AB57" s="143">
        <f t="shared" si="14"/>
        <v>45968</v>
      </c>
      <c r="AC57" s="118">
        <f t="shared" si="5"/>
        <v>133798.71</v>
      </c>
      <c r="AD57" s="118">
        <f t="shared" si="6"/>
        <v>45968</v>
      </c>
      <c r="AE57" s="118">
        <f t="shared" si="7"/>
        <v>179766.71</v>
      </c>
      <c r="AF57" s="118">
        <f t="shared" si="8"/>
        <v>10034903.089999959</v>
      </c>
    </row>
    <row r="58" spans="1:32">
      <c r="A58" s="139">
        <v>53</v>
      </c>
      <c r="B58" s="118">
        <f t="shared" si="21"/>
        <v>10034903.089999959</v>
      </c>
      <c r="C58" s="115">
        <f t="shared" si="17"/>
        <v>2021</v>
      </c>
      <c r="D58" s="142">
        <f>EOMONTH(Założenia_kredyty!$D$5,A58)</f>
        <v>44500</v>
      </c>
      <c r="E58" s="141">
        <f>HLOOKUP(C58,Założenia!$I$5:$U$11,6,0)+Założenia_kredyty!$D$11</f>
        <v>5.5000000000000007E-2</v>
      </c>
      <c r="F58" s="143">
        <f t="shared" si="19"/>
        <v>46875</v>
      </c>
      <c r="G58" s="118">
        <f>IF(D58&gt;=Założenia_kredyty!$D$6,IF(B58&gt;=Założenia_kredyty!$D$7,Założenia_kredyty!$D$7,B58),0)</f>
        <v>133798.71</v>
      </c>
      <c r="H58" s="118">
        <f>IF(Założenia_kredyty!$D$9="TAK",IF(D58=Założenia_kredyty!$D$6,SUM(Obliczenia_kredyty!F$5:F58),IF(D58&lt;Założenia_kredyty!$D$6,0,F58)),F58)</f>
        <v>46875</v>
      </c>
      <c r="I58" s="118">
        <f t="shared" si="20"/>
        <v>180673.71</v>
      </c>
      <c r="J58" s="118">
        <f t="shared" si="18"/>
        <v>9901104.379999958</v>
      </c>
      <c r="L58"/>
      <c r="M58"/>
      <c r="N58"/>
      <c r="O58"/>
      <c r="P58"/>
      <c r="Q58"/>
      <c r="R58"/>
      <c r="S58"/>
      <c r="T58"/>
      <c r="U58"/>
      <c r="W58" s="139">
        <v>53</v>
      </c>
      <c r="X58" s="118">
        <f t="shared" si="13"/>
        <v>10034903.089999959</v>
      </c>
      <c r="Y58" s="115">
        <f t="shared" si="15"/>
        <v>2021</v>
      </c>
      <c r="Z58" s="142">
        <f>EOMONTH(Założenia_kredyty!$D$5,W58)</f>
        <v>44500</v>
      </c>
      <c r="AA58" s="141">
        <f>HLOOKUP(Y58,Założenia!$I$5:$U$11,7,0)</f>
        <v>0</v>
      </c>
      <c r="AB58" s="143">
        <f t="shared" si="14"/>
        <v>46875</v>
      </c>
      <c r="AC58" s="118">
        <f t="shared" si="5"/>
        <v>133798.71</v>
      </c>
      <c r="AD58" s="118">
        <f t="shared" si="6"/>
        <v>46875</v>
      </c>
      <c r="AE58" s="118">
        <f t="shared" si="7"/>
        <v>180673.71</v>
      </c>
      <c r="AF58" s="118">
        <f t="shared" si="8"/>
        <v>9901104.379999958</v>
      </c>
    </row>
    <row r="59" spans="1:32">
      <c r="A59" s="139">
        <v>54</v>
      </c>
      <c r="B59" s="118">
        <f t="shared" si="21"/>
        <v>9901104.379999958</v>
      </c>
      <c r="C59" s="115">
        <f t="shared" si="17"/>
        <v>2021</v>
      </c>
      <c r="D59" s="142">
        <f>EOMONTH(Założenia_kredyty!$D$5,A59)</f>
        <v>44530</v>
      </c>
      <c r="E59" s="141">
        <f>HLOOKUP(C59,Założenia!$I$5:$U$11,6,0)+Założenia_kredyty!$D$11</f>
        <v>5.5000000000000007E-2</v>
      </c>
      <c r="F59" s="143">
        <f t="shared" si="19"/>
        <v>44758</v>
      </c>
      <c r="G59" s="118">
        <f>IF(D59&gt;=Założenia_kredyty!$D$6,IF(B59&gt;=Założenia_kredyty!$D$7,Założenia_kredyty!$D$7,B59),0)</f>
        <v>133798.71</v>
      </c>
      <c r="H59" s="118">
        <f>IF(Założenia_kredyty!$D$9="TAK",IF(D59=Założenia_kredyty!$D$6,SUM(Obliczenia_kredyty!F$5:F59),IF(D59&lt;Założenia_kredyty!$D$6,0,F59)),F59)</f>
        <v>44758</v>
      </c>
      <c r="I59" s="118">
        <f t="shared" si="20"/>
        <v>178556.71</v>
      </c>
      <c r="J59" s="118">
        <f t="shared" si="18"/>
        <v>9767305.6699999571</v>
      </c>
      <c r="L59"/>
      <c r="M59"/>
      <c r="N59"/>
      <c r="O59"/>
      <c r="P59"/>
      <c r="Q59"/>
      <c r="R59"/>
      <c r="S59"/>
      <c r="T59"/>
      <c r="U59"/>
      <c r="W59" s="139">
        <v>54</v>
      </c>
      <c r="X59" s="118">
        <f t="shared" si="13"/>
        <v>9901104.379999958</v>
      </c>
      <c r="Y59" s="115">
        <f t="shared" si="15"/>
        <v>2021</v>
      </c>
      <c r="Z59" s="142">
        <f>EOMONTH(Założenia_kredyty!$D$5,W59)</f>
        <v>44530</v>
      </c>
      <c r="AA59" s="141">
        <f>HLOOKUP(Y59,Założenia!$I$5:$U$11,7,0)</f>
        <v>0</v>
      </c>
      <c r="AB59" s="143">
        <f t="shared" si="14"/>
        <v>44758</v>
      </c>
      <c r="AC59" s="118">
        <f t="shared" si="5"/>
        <v>133798.71</v>
      </c>
      <c r="AD59" s="118">
        <f t="shared" si="6"/>
        <v>44758</v>
      </c>
      <c r="AE59" s="118">
        <f t="shared" si="7"/>
        <v>178556.71</v>
      </c>
      <c r="AF59" s="118">
        <f t="shared" si="8"/>
        <v>9767305.6699999571</v>
      </c>
    </row>
    <row r="60" spans="1:32">
      <c r="A60" s="139">
        <v>55</v>
      </c>
      <c r="B60" s="118">
        <f t="shared" si="21"/>
        <v>9767305.6699999571</v>
      </c>
      <c r="C60" s="115">
        <f t="shared" si="17"/>
        <v>2021</v>
      </c>
      <c r="D60" s="142">
        <f>EOMONTH(Założenia_kredyty!$D$5,A60)</f>
        <v>44561</v>
      </c>
      <c r="E60" s="141">
        <f>HLOOKUP(C60,Założenia!$I$5:$U$11,6,0)+Założenia_kredyty!$D$11</f>
        <v>5.5000000000000007E-2</v>
      </c>
      <c r="F60" s="143">
        <f t="shared" si="19"/>
        <v>45625</v>
      </c>
      <c r="G60" s="118">
        <f>IF(D60&gt;=Założenia_kredyty!$D$6,IF(B60&gt;=Założenia_kredyty!$D$7,Założenia_kredyty!$D$7,B60),0)</f>
        <v>133798.71</v>
      </c>
      <c r="H60" s="118">
        <f>IF(Założenia_kredyty!$D$9="TAK",IF(D60=Założenia_kredyty!$D$6,SUM(Obliczenia_kredyty!F$5:F60),IF(D60&lt;Założenia_kredyty!$D$6,0,F60)),F60)</f>
        <v>45625</v>
      </c>
      <c r="I60" s="118">
        <f t="shared" si="20"/>
        <v>179423.71</v>
      </c>
      <c r="J60" s="118">
        <f t="shared" si="18"/>
        <v>9633506.9599999562</v>
      </c>
      <c r="L60"/>
      <c r="M60"/>
      <c r="N60"/>
      <c r="O60"/>
      <c r="P60"/>
      <c r="Q60"/>
      <c r="R60"/>
      <c r="S60"/>
      <c r="T60"/>
      <c r="U60"/>
      <c r="W60" s="139">
        <v>55</v>
      </c>
      <c r="X60" s="118">
        <f t="shared" si="13"/>
        <v>9767305.6699999571</v>
      </c>
      <c r="Y60" s="115">
        <f t="shared" si="15"/>
        <v>2021</v>
      </c>
      <c r="Z60" s="142">
        <f>EOMONTH(Założenia_kredyty!$D$5,W60)</f>
        <v>44561</v>
      </c>
      <c r="AA60" s="141">
        <f>HLOOKUP(Y60,Założenia!$I$5:$U$11,7,0)</f>
        <v>0</v>
      </c>
      <c r="AB60" s="143">
        <f t="shared" si="14"/>
        <v>45625</v>
      </c>
      <c r="AC60" s="118">
        <f t="shared" si="5"/>
        <v>133798.71</v>
      </c>
      <c r="AD60" s="118">
        <f t="shared" si="6"/>
        <v>45625</v>
      </c>
      <c r="AE60" s="118">
        <f t="shared" si="7"/>
        <v>179423.71</v>
      </c>
      <c r="AF60" s="118">
        <f t="shared" si="8"/>
        <v>9633506.9599999562</v>
      </c>
    </row>
    <row r="61" spans="1:32">
      <c r="A61" s="139">
        <v>56</v>
      </c>
      <c r="B61" s="118">
        <f t="shared" si="21"/>
        <v>9633506.9599999562</v>
      </c>
      <c r="C61" s="115">
        <f t="shared" si="17"/>
        <v>2022</v>
      </c>
      <c r="D61" s="142">
        <f>EOMONTH(Założenia_kredyty!$D$5,A61)</f>
        <v>44592</v>
      </c>
      <c r="E61" s="141">
        <f>HLOOKUP(C61,Założenia!$I$5:$U$11,6,0)+Założenia_kredyty!$D$11</f>
        <v>6.7000000000000004E-2</v>
      </c>
      <c r="F61" s="143">
        <f t="shared" si="19"/>
        <v>54819</v>
      </c>
      <c r="G61" s="118">
        <f>IF(D61&gt;=Założenia_kredyty!$D$6,IF(B61&gt;=Założenia_kredyty!$D$7,Założenia_kredyty!$D$7,B61),0)</f>
        <v>133798.71</v>
      </c>
      <c r="H61" s="118">
        <f>IF(Założenia_kredyty!$D$9="TAK",IF(D61=Założenia_kredyty!$D$6,SUM(Obliczenia_kredyty!F$5:F61),IF(D61&lt;Założenia_kredyty!$D$6,0,F61)),F61)</f>
        <v>54819</v>
      </c>
      <c r="I61" s="118">
        <f t="shared" si="20"/>
        <v>188617.71</v>
      </c>
      <c r="J61" s="118">
        <f t="shared" si="18"/>
        <v>9499708.2499999553</v>
      </c>
      <c r="L61"/>
      <c r="M61"/>
      <c r="N61"/>
      <c r="O61"/>
      <c r="P61"/>
      <c r="Q61"/>
      <c r="R61"/>
      <c r="S61"/>
      <c r="T61"/>
      <c r="U61"/>
      <c r="W61" s="139">
        <v>56</v>
      </c>
      <c r="X61" s="118">
        <f t="shared" si="13"/>
        <v>9633506.9599999562</v>
      </c>
      <c r="Y61" s="115">
        <f t="shared" si="15"/>
        <v>2022</v>
      </c>
      <c r="Z61" s="142">
        <f>EOMONTH(Założenia_kredyty!$D$5,W61)</f>
        <v>44592</v>
      </c>
      <c r="AA61" s="141">
        <f>HLOOKUP(Y61,Założenia!$I$5:$U$11,7,0)</f>
        <v>0</v>
      </c>
      <c r="AB61" s="143">
        <f t="shared" si="14"/>
        <v>54819</v>
      </c>
      <c r="AC61" s="118">
        <f t="shared" si="5"/>
        <v>133798.71</v>
      </c>
      <c r="AD61" s="118">
        <f t="shared" si="6"/>
        <v>54819</v>
      </c>
      <c r="AE61" s="118">
        <f t="shared" si="7"/>
        <v>188617.71</v>
      </c>
      <c r="AF61" s="118">
        <f t="shared" si="8"/>
        <v>9499708.2499999553</v>
      </c>
    </row>
    <row r="62" spans="1:32">
      <c r="A62" s="139">
        <v>57</v>
      </c>
      <c r="B62" s="118">
        <f t="shared" si="21"/>
        <v>9499708.2499999553</v>
      </c>
      <c r="C62" s="115">
        <f t="shared" si="17"/>
        <v>2022</v>
      </c>
      <c r="D62" s="142">
        <f>EOMONTH(Założenia_kredyty!$D$5,A62)</f>
        <v>44620</v>
      </c>
      <c r="E62" s="141">
        <f>HLOOKUP(C62,Założenia!$I$5:$U$11,6,0)+Założenia_kredyty!$D$11</f>
        <v>6.7000000000000004E-2</v>
      </c>
      <c r="F62" s="143">
        <f t="shared" si="19"/>
        <v>48826</v>
      </c>
      <c r="G62" s="118">
        <f>IF(D62&gt;=Założenia_kredyty!$D$6,IF(B62&gt;=Założenia_kredyty!$D$7,Założenia_kredyty!$D$7,B62),0)</f>
        <v>133798.71</v>
      </c>
      <c r="H62" s="118">
        <f>IF(Założenia_kredyty!$D$9="TAK",IF(D62=Założenia_kredyty!$D$6,SUM(Obliczenia_kredyty!F$5:F62),IF(D62&lt;Założenia_kredyty!$D$6,0,F62)),F62)</f>
        <v>48826</v>
      </c>
      <c r="I62" s="118">
        <f t="shared" si="20"/>
        <v>182624.71</v>
      </c>
      <c r="J62" s="118">
        <f t="shared" si="18"/>
        <v>9365909.5399999544</v>
      </c>
      <c r="L62"/>
      <c r="M62"/>
      <c r="N62"/>
      <c r="O62"/>
      <c r="P62"/>
      <c r="Q62"/>
      <c r="R62"/>
      <c r="S62"/>
      <c r="T62"/>
      <c r="U62"/>
      <c r="W62" s="139">
        <v>57</v>
      </c>
      <c r="X62" s="118">
        <f t="shared" si="13"/>
        <v>9499708.2499999553</v>
      </c>
      <c r="Y62" s="115">
        <f t="shared" si="15"/>
        <v>2022</v>
      </c>
      <c r="Z62" s="142">
        <f>EOMONTH(Założenia_kredyty!$D$5,W62)</f>
        <v>44620</v>
      </c>
      <c r="AA62" s="141">
        <f>HLOOKUP(Y62,Założenia!$I$5:$U$11,7,0)</f>
        <v>0</v>
      </c>
      <c r="AB62" s="143">
        <f t="shared" si="14"/>
        <v>48826</v>
      </c>
      <c r="AC62" s="118">
        <f t="shared" si="5"/>
        <v>133798.71</v>
      </c>
      <c r="AD62" s="118">
        <f t="shared" si="6"/>
        <v>48826</v>
      </c>
      <c r="AE62" s="118">
        <f t="shared" si="7"/>
        <v>182624.71</v>
      </c>
      <c r="AF62" s="118">
        <f t="shared" si="8"/>
        <v>9365909.5399999544</v>
      </c>
    </row>
    <row r="63" spans="1:32">
      <c r="A63" s="139">
        <v>58</v>
      </c>
      <c r="B63" s="118">
        <f t="shared" si="21"/>
        <v>9365909.5399999544</v>
      </c>
      <c r="C63" s="115">
        <f t="shared" si="17"/>
        <v>2022</v>
      </c>
      <c r="D63" s="142">
        <f>EOMONTH(Założenia_kredyty!$D$5,A63)</f>
        <v>44651</v>
      </c>
      <c r="E63" s="141">
        <f>HLOOKUP(C63,Założenia!$I$5:$U$11,6,0)+Założenia_kredyty!$D$11</f>
        <v>6.7000000000000004E-2</v>
      </c>
      <c r="F63" s="143">
        <f t="shared" si="19"/>
        <v>53296</v>
      </c>
      <c r="G63" s="118">
        <f>IF(D63&gt;=Założenia_kredyty!$D$6,IF(B63&gt;=Założenia_kredyty!$D$7,Założenia_kredyty!$D$7,B63),0)</f>
        <v>133798.71</v>
      </c>
      <c r="H63" s="118">
        <f>IF(Założenia_kredyty!$D$9="TAK",IF(D63=Założenia_kredyty!$D$6,SUM(Obliczenia_kredyty!F$5:F63),IF(D63&lt;Założenia_kredyty!$D$6,0,F63)),F63)</f>
        <v>53296</v>
      </c>
      <c r="I63" s="118">
        <f t="shared" si="20"/>
        <v>187094.71</v>
      </c>
      <c r="J63" s="118">
        <f t="shared" si="18"/>
        <v>9232110.8299999535</v>
      </c>
      <c r="L63"/>
      <c r="M63"/>
      <c r="N63"/>
      <c r="O63"/>
      <c r="P63"/>
      <c r="Q63"/>
      <c r="R63"/>
      <c r="S63"/>
      <c r="T63"/>
      <c r="U63"/>
      <c r="W63" s="139">
        <v>58</v>
      </c>
      <c r="X63" s="118">
        <f t="shared" si="13"/>
        <v>9365909.5399999544</v>
      </c>
      <c r="Y63" s="115">
        <f t="shared" si="15"/>
        <v>2022</v>
      </c>
      <c r="Z63" s="142">
        <f>EOMONTH(Założenia_kredyty!$D$5,W63)</f>
        <v>44651</v>
      </c>
      <c r="AA63" s="141">
        <f>HLOOKUP(Y63,Założenia!$I$5:$U$11,7,0)</f>
        <v>0</v>
      </c>
      <c r="AB63" s="143">
        <f t="shared" si="14"/>
        <v>53296</v>
      </c>
      <c r="AC63" s="118">
        <f t="shared" si="5"/>
        <v>133798.71</v>
      </c>
      <c r="AD63" s="118">
        <f t="shared" si="6"/>
        <v>53296</v>
      </c>
      <c r="AE63" s="118">
        <f t="shared" si="7"/>
        <v>187094.71</v>
      </c>
      <c r="AF63" s="118">
        <f t="shared" si="8"/>
        <v>9232110.8299999535</v>
      </c>
    </row>
    <row r="64" spans="1:32">
      <c r="A64" s="139">
        <v>59</v>
      </c>
      <c r="B64" s="118">
        <f t="shared" si="21"/>
        <v>9232110.8299999535</v>
      </c>
      <c r="C64" s="115">
        <f t="shared" si="17"/>
        <v>2022</v>
      </c>
      <c r="D64" s="142">
        <f>EOMONTH(Założenia_kredyty!$D$5,A64)</f>
        <v>44681</v>
      </c>
      <c r="E64" s="141">
        <f>HLOOKUP(C64,Założenia!$I$5:$U$11,6,0)+Założenia_kredyty!$D$11</f>
        <v>6.7000000000000004E-2</v>
      </c>
      <c r="F64" s="143">
        <f t="shared" si="19"/>
        <v>50840</v>
      </c>
      <c r="G64" s="118">
        <f>IF(D64&gt;=Założenia_kredyty!$D$6,IF(B64&gt;=Założenia_kredyty!$D$7,Założenia_kredyty!$D$7,B64),0)</f>
        <v>133798.71</v>
      </c>
      <c r="H64" s="118">
        <f>IF(Założenia_kredyty!$D$9="TAK",IF(D64=Założenia_kredyty!$D$6,SUM(Obliczenia_kredyty!F$5:F64),IF(D64&lt;Założenia_kredyty!$D$6,0,F64)),F64)</f>
        <v>50840</v>
      </c>
      <c r="I64" s="118">
        <f t="shared" si="20"/>
        <v>184638.71</v>
      </c>
      <c r="J64" s="118">
        <f t="shared" si="18"/>
        <v>9098312.1199999526</v>
      </c>
      <c r="L64"/>
      <c r="M64"/>
      <c r="N64"/>
      <c r="O64"/>
      <c r="P64"/>
      <c r="Q64"/>
      <c r="R64"/>
      <c r="S64"/>
      <c r="T64"/>
      <c r="U64"/>
      <c r="W64" s="139">
        <v>59</v>
      </c>
      <c r="X64" s="118">
        <f t="shared" si="13"/>
        <v>9232110.8299999535</v>
      </c>
      <c r="Y64" s="115">
        <f t="shared" si="15"/>
        <v>2022</v>
      </c>
      <c r="Z64" s="142">
        <f>EOMONTH(Założenia_kredyty!$D$5,W64)</f>
        <v>44681</v>
      </c>
      <c r="AA64" s="141">
        <f>HLOOKUP(Y64,Założenia!$I$5:$U$11,7,0)</f>
        <v>0</v>
      </c>
      <c r="AB64" s="143">
        <f t="shared" si="14"/>
        <v>50840</v>
      </c>
      <c r="AC64" s="118">
        <f t="shared" si="5"/>
        <v>133798.71</v>
      </c>
      <c r="AD64" s="118">
        <f t="shared" si="6"/>
        <v>50840</v>
      </c>
      <c r="AE64" s="118">
        <f t="shared" si="7"/>
        <v>184638.71</v>
      </c>
      <c r="AF64" s="118">
        <f t="shared" si="8"/>
        <v>9098312.1199999526</v>
      </c>
    </row>
    <row r="65" spans="1:32">
      <c r="A65" s="139">
        <v>60</v>
      </c>
      <c r="B65" s="118">
        <f t="shared" si="21"/>
        <v>9098312.1199999526</v>
      </c>
      <c r="C65" s="115">
        <f t="shared" si="17"/>
        <v>2022</v>
      </c>
      <c r="D65" s="142">
        <f>EOMONTH(Założenia_kredyty!$D$5,A65)</f>
        <v>44712</v>
      </c>
      <c r="E65" s="141">
        <f>HLOOKUP(C65,Założenia!$I$5:$U$11,6,0)+Założenia_kredyty!$D$11</f>
        <v>6.7000000000000004E-2</v>
      </c>
      <c r="F65" s="143">
        <f t="shared" si="19"/>
        <v>51773</v>
      </c>
      <c r="G65" s="118">
        <f>IF(D65&gt;=Założenia_kredyty!$D$6,IF(B65&gt;=Założenia_kredyty!$D$7,Założenia_kredyty!$D$7,B65),0)</f>
        <v>133798.71</v>
      </c>
      <c r="H65" s="118">
        <f>IF(Założenia_kredyty!$D$9="TAK",IF(D65=Założenia_kredyty!$D$6,SUM(Obliczenia_kredyty!F$5:F65),IF(D65&lt;Założenia_kredyty!$D$6,0,F65)),F65)</f>
        <v>51773</v>
      </c>
      <c r="I65" s="118">
        <f t="shared" si="20"/>
        <v>185571.71</v>
      </c>
      <c r="J65" s="118">
        <f t="shared" si="18"/>
        <v>8964513.4099999517</v>
      </c>
      <c r="L65"/>
      <c r="M65"/>
      <c r="N65"/>
      <c r="O65"/>
      <c r="P65"/>
      <c r="Q65"/>
      <c r="R65"/>
      <c r="S65"/>
      <c r="T65"/>
      <c r="U65"/>
      <c r="W65" s="139">
        <v>60</v>
      </c>
      <c r="X65" s="118">
        <f t="shared" si="13"/>
        <v>9098312.1199999526</v>
      </c>
      <c r="Y65" s="115">
        <f t="shared" si="15"/>
        <v>2022</v>
      </c>
      <c r="Z65" s="142">
        <f>EOMONTH(Założenia_kredyty!$D$5,W65)</f>
        <v>44712</v>
      </c>
      <c r="AA65" s="141">
        <f>HLOOKUP(Y65,Założenia!$I$5:$U$11,7,0)</f>
        <v>0</v>
      </c>
      <c r="AB65" s="143">
        <f t="shared" si="14"/>
        <v>51773</v>
      </c>
      <c r="AC65" s="118">
        <f t="shared" si="5"/>
        <v>133798.71</v>
      </c>
      <c r="AD65" s="118">
        <f t="shared" si="6"/>
        <v>51773</v>
      </c>
      <c r="AE65" s="118">
        <f t="shared" si="7"/>
        <v>185571.71</v>
      </c>
      <c r="AF65" s="118">
        <f t="shared" si="8"/>
        <v>8964513.4099999517</v>
      </c>
    </row>
    <row r="66" spans="1:32">
      <c r="A66" s="139">
        <v>61</v>
      </c>
      <c r="B66" s="118">
        <f t="shared" si="21"/>
        <v>8964513.4099999517</v>
      </c>
      <c r="C66" s="115">
        <f t="shared" si="17"/>
        <v>2022</v>
      </c>
      <c r="D66" s="142">
        <f>EOMONTH(Założenia_kredyty!$D$5,A66)</f>
        <v>44742</v>
      </c>
      <c r="E66" s="141">
        <f>HLOOKUP(C66,Założenia!$I$5:$U$11,6,0)+Założenia_kredyty!$D$11</f>
        <v>6.7000000000000004E-2</v>
      </c>
      <c r="F66" s="143">
        <f t="shared" si="19"/>
        <v>49366</v>
      </c>
      <c r="G66" s="118">
        <f>IF(D66&gt;=Założenia_kredyty!$D$6,IF(B66&gt;=Założenia_kredyty!$D$7,Założenia_kredyty!$D$7,B66),0)</f>
        <v>133798.71</v>
      </c>
      <c r="H66" s="118">
        <f>IF(Założenia_kredyty!$D$9="TAK",IF(D66=Założenia_kredyty!$D$6,SUM(Obliczenia_kredyty!F$5:F66),IF(D66&lt;Założenia_kredyty!$D$6,0,F66)),F66)</f>
        <v>49366</v>
      </c>
      <c r="I66" s="118">
        <f t="shared" si="20"/>
        <v>183164.71</v>
      </c>
      <c r="J66" s="118">
        <f t="shared" si="18"/>
        <v>8830714.6999999508</v>
      </c>
      <c r="L66"/>
      <c r="M66"/>
      <c r="N66"/>
      <c r="O66"/>
      <c r="P66"/>
      <c r="Q66"/>
      <c r="R66"/>
      <c r="S66"/>
      <c r="T66"/>
      <c r="U66"/>
      <c r="W66" s="139">
        <v>61</v>
      </c>
      <c r="X66" s="118">
        <f t="shared" si="13"/>
        <v>8964513.4099999517</v>
      </c>
      <c r="Y66" s="115">
        <f t="shared" si="15"/>
        <v>2022</v>
      </c>
      <c r="Z66" s="142">
        <f>EOMONTH(Założenia_kredyty!$D$5,W66)</f>
        <v>44742</v>
      </c>
      <c r="AA66" s="141">
        <f>HLOOKUP(Y66,Założenia!$I$5:$U$11,7,0)</f>
        <v>0</v>
      </c>
      <c r="AB66" s="143">
        <f t="shared" si="14"/>
        <v>49366</v>
      </c>
      <c r="AC66" s="118">
        <f t="shared" si="5"/>
        <v>133798.71</v>
      </c>
      <c r="AD66" s="118">
        <f t="shared" si="6"/>
        <v>49366</v>
      </c>
      <c r="AE66" s="118">
        <f t="shared" si="7"/>
        <v>183164.71</v>
      </c>
      <c r="AF66" s="118">
        <f t="shared" si="8"/>
        <v>8830714.6999999508</v>
      </c>
    </row>
    <row r="67" spans="1:32">
      <c r="A67" s="139">
        <v>62</v>
      </c>
      <c r="B67" s="118">
        <f t="shared" si="21"/>
        <v>8830714.6999999508</v>
      </c>
      <c r="C67" s="115">
        <f t="shared" si="17"/>
        <v>2022</v>
      </c>
      <c r="D67" s="142">
        <f>EOMONTH(Założenia_kredyty!$D$5,A67)</f>
        <v>44773</v>
      </c>
      <c r="E67" s="141">
        <f>HLOOKUP(C67,Założenia!$I$5:$U$11,6,0)+Założenia_kredyty!$D$11</f>
        <v>6.7000000000000004E-2</v>
      </c>
      <c r="F67" s="143">
        <f t="shared" si="19"/>
        <v>50250</v>
      </c>
      <c r="G67" s="118">
        <f>IF(D67&gt;=Założenia_kredyty!$D$6,IF(B67&gt;=Założenia_kredyty!$D$7,Założenia_kredyty!$D$7,B67),0)</f>
        <v>133798.71</v>
      </c>
      <c r="H67" s="118">
        <f>IF(Założenia_kredyty!$D$9="TAK",IF(D67=Założenia_kredyty!$D$6,SUM(Obliczenia_kredyty!F$5:F67),IF(D67&lt;Założenia_kredyty!$D$6,0,F67)),F67)</f>
        <v>50250</v>
      </c>
      <c r="I67" s="118">
        <f t="shared" si="20"/>
        <v>184048.71</v>
      </c>
      <c r="J67" s="118">
        <f t="shared" si="18"/>
        <v>8696915.9899999499</v>
      </c>
      <c r="L67"/>
      <c r="M67"/>
      <c r="N67"/>
      <c r="O67"/>
      <c r="P67"/>
      <c r="Q67"/>
      <c r="R67"/>
      <c r="S67"/>
      <c r="T67"/>
      <c r="U67"/>
      <c r="W67" s="139">
        <v>62</v>
      </c>
      <c r="X67" s="118">
        <f t="shared" si="13"/>
        <v>8830714.6999999508</v>
      </c>
      <c r="Y67" s="115">
        <f t="shared" si="15"/>
        <v>2022</v>
      </c>
      <c r="Z67" s="142">
        <f>EOMONTH(Założenia_kredyty!$D$5,W67)</f>
        <v>44773</v>
      </c>
      <c r="AA67" s="141">
        <f>HLOOKUP(Y67,Założenia!$I$5:$U$11,7,0)</f>
        <v>0</v>
      </c>
      <c r="AB67" s="143">
        <f t="shared" si="14"/>
        <v>50250</v>
      </c>
      <c r="AC67" s="118">
        <f t="shared" si="5"/>
        <v>133798.71</v>
      </c>
      <c r="AD67" s="118">
        <f t="shared" si="6"/>
        <v>50250</v>
      </c>
      <c r="AE67" s="118">
        <f t="shared" si="7"/>
        <v>184048.71</v>
      </c>
      <c r="AF67" s="118">
        <f t="shared" si="8"/>
        <v>8696915.9899999499</v>
      </c>
    </row>
    <row r="68" spans="1:32">
      <c r="A68" s="139">
        <v>63</v>
      </c>
      <c r="B68" s="118">
        <f t="shared" si="21"/>
        <v>8696915.9899999499</v>
      </c>
      <c r="C68" s="115">
        <f t="shared" si="17"/>
        <v>2022</v>
      </c>
      <c r="D68" s="142">
        <f>EOMONTH(Założenia_kredyty!$D$5,A68)</f>
        <v>44804</v>
      </c>
      <c r="E68" s="141">
        <f>HLOOKUP(C68,Założenia!$I$5:$U$11,6,0)+Założenia_kredyty!$D$11</f>
        <v>6.7000000000000004E-2</v>
      </c>
      <c r="F68" s="143">
        <f t="shared" si="19"/>
        <v>49489</v>
      </c>
      <c r="G68" s="118">
        <f>IF(D68&gt;=Założenia_kredyty!$D$6,IF(B68&gt;=Założenia_kredyty!$D$7,Założenia_kredyty!$D$7,B68),0)</f>
        <v>133798.71</v>
      </c>
      <c r="H68" s="118">
        <f>IF(Założenia_kredyty!$D$9="TAK",IF(D68=Założenia_kredyty!$D$6,SUM(Obliczenia_kredyty!F$5:F68),IF(D68&lt;Założenia_kredyty!$D$6,0,F68)),F68)</f>
        <v>49489</v>
      </c>
      <c r="I68" s="118">
        <f t="shared" si="20"/>
        <v>183287.71</v>
      </c>
      <c r="J68" s="118">
        <f t="shared" si="18"/>
        <v>8563117.279999949</v>
      </c>
      <c r="L68"/>
      <c r="M68"/>
      <c r="N68"/>
      <c r="O68"/>
      <c r="P68"/>
      <c r="Q68"/>
      <c r="R68"/>
      <c r="S68"/>
      <c r="T68"/>
      <c r="U68"/>
      <c r="W68" s="139">
        <v>63</v>
      </c>
      <c r="X68" s="118">
        <f t="shared" si="13"/>
        <v>8696915.9899999499</v>
      </c>
      <c r="Y68" s="115">
        <f t="shared" si="15"/>
        <v>2022</v>
      </c>
      <c r="Z68" s="142">
        <f>EOMONTH(Założenia_kredyty!$D$5,W68)</f>
        <v>44804</v>
      </c>
      <c r="AA68" s="141">
        <f>HLOOKUP(Y68,Założenia!$I$5:$U$11,7,0)</f>
        <v>0</v>
      </c>
      <c r="AB68" s="143">
        <f t="shared" si="14"/>
        <v>49489</v>
      </c>
      <c r="AC68" s="118">
        <f t="shared" si="5"/>
        <v>133798.71</v>
      </c>
      <c r="AD68" s="118">
        <f t="shared" si="6"/>
        <v>49489</v>
      </c>
      <c r="AE68" s="118">
        <f t="shared" si="7"/>
        <v>183287.71</v>
      </c>
      <c r="AF68" s="118">
        <f t="shared" si="8"/>
        <v>8563117.279999949</v>
      </c>
    </row>
    <row r="69" spans="1:32">
      <c r="A69" s="139">
        <v>64</v>
      </c>
      <c r="B69" s="118">
        <f t="shared" si="21"/>
        <v>8563117.279999949</v>
      </c>
      <c r="C69" s="115">
        <f t="shared" ref="C69:C100" si="22">YEAR(D69)</f>
        <v>2022</v>
      </c>
      <c r="D69" s="142">
        <f>EOMONTH(Założenia_kredyty!$D$5,A69)</f>
        <v>44834</v>
      </c>
      <c r="E69" s="141">
        <f>HLOOKUP(C69,Założenia!$I$5:$U$11,6,0)+Założenia_kredyty!$D$11</f>
        <v>6.7000000000000004E-2</v>
      </c>
      <c r="F69" s="143">
        <f t="shared" si="19"/>
        <v>47156</v>
      </c>
      <c r="G69" s="118">
        <f>IF(D69&gt;=Założenia_kredyty!$D$6,IF(B69&gt;=Założenia_kredyty!$D$7,Założenia_kredyty!$D$7,B69),0)</f>
        <v>133798.71</v>
      </c>
      <c r="H69" s="118">
        <f>IF(Założenia_kredyty!$D$9="TAK",IF(D69=Założenia_kredyty!$D$6,SUM(Obliczenia_kredyty!F$5:F69),IF(D69&lt;Założenia_kredyty!$D$6,0,F69)),F69)</f>
        <v>47156</v>
      </c>
      <c r="I69" s="118">
        <f t="shared" si="20"/>
        <v>180954.71</v>
      </c>
      <c r="J69" s="118">
        <f t="shared" ref="J69:J100" si="23">B69-G69</f>
        <v>8429318.5699999481</v>
      </c>
      <c r="L69"/>
      <c r="M69"/>
      <c r="N69"/>
      <c r="O69"/>
      <c r="P69"/>
      <c r="Q69"/>
      <c r="R69"/>
      <c r="S69"/>
      <c r="T69"/>
      <c r="U69"/>
      <c r="W69" s="139">
        <v>64</v>
      </c>
      <c r="X69" s="118">
        <f t="shared" si="13"/>
        <v>8563117.279999949</v>
      </c>
      <c r="Y69" s="115">
        <f t="shared" si="15"/>
        <v>2022</v>
      </c>
      <c r="Z69" s="142">
        <f>EOMONTH(Założenia_kredyty!$D$5,W69)</f>
        <v>44834</v>
      </c>
      <c r="AA69" s="141">
        <f>HLOOKUP(Y69,Założenia!$I$5:$U$11,7,0)</f>
        <v>0</v>
      </c>
      <c r="AB69" s="143">
        <f t="shared" si="14"/>
        <v>47156</v>
      </c>
      <c r="AC69" s="118">
        <f t="shared" ref="AC69:AC132" si="24">G69+R69</f>
        <v>133798.71</v>
      </c>
      <c r="AD69" s="118">
        <f t="shared" ref="AD69:AD132" si="25">H69+S69</f>
        <v>47156</v>
      </c>
      <c r="AE69" s="118">
        <f t="shared" ref="AE69:AE132" si="26">I69+T69</f>
        <v>180954.71</v>
      </c>
      <c r="AF69" s="118">
        <f t="shared" ref="AF69:AF132" si="27">J69+U69</f>
        <v>8429318.5699999481</v>
      </c>
    </row>
    <row r="70" spans="1:32">
      <c r="A70" s="139">
        <v>65</v>
      </c>
      <c r="B70" s="118">
        <f t="shared" si="21"/>
        <v>8429318.5699999481</v>
      </c>
      <c r="C70" s="115">
        <f t="shared" si="22"/>
        <v>2022</v>
      </c>
      <c r="D70" s="142">
        <f>EOMONTH(Założenia_kredyty!$D$5,A70)</f>
        <v>44865</v>
      </c>
      <c r="E70" s="141">
        <f>HLOOKUP(C70,Założenia!$I$5:$U$11,6,0)+Założenia_kredyty!$D$11</f>
        <v>6.7000000000000004E-2</v>
      </c>
      <c r="F70" s="143">
        <f t="shared" ref="F70:F101" si="28">ROUND(J69*E70*(D70-D69)/365,0)</f>
        <v>47966</v>
      </c>
      <c r="G70" s="118">
        <f>IF(D70&gt;=Założenia_kredyty!$D$6,IF(B70&gt;=Założenia_kredyty!$D$7,Założenia_kredyty!$D$7,B70),0)</f>
        <v>133798.71</v>
      </c>
      <c r="H70" s="118">
        <f>IF(Założenia_kredyty!$D$9="TAK",IF(D70=Założenia_kredyty!$D$6,SUM(Obliczenia_kredyty!F$5:F70),IF(D70&lt;Założenia_kredyty!$D$6,0,F70)),F70)</f>
        <v>47966</v>
      </c>
      <c r="I70" s="118">
        <f t="shared" ref="I70:I101" si="29">G70+H70</f>
        <v>181764.71</v>
      </c>
      <c r="J70" s="118">
        <f t="shared" si="23"/>
        <v>8295519.8599999482</v>
      </c>
      <c r="L70"/>
      <c r="M70"/>
      <c r="N70"/>
      <c r="O70"/>
      <c r="P70"/>
      <c r="Q70"/>
      <c r="R70"/>
      <c r="S70"/>
      <c r="T70"/>
      <c r="U70"/>
      <c r="W70" s="139">
        <v>65</v>
      </c>
      <c r="X70" s="118">
        <f t="shared" ref="X70:X132" si="30">B70+M70</f>
        <v>8429318.5699999481</v>
      </c>
      <c r="Y70" s="115">
        <f t="shared" si="15"/>
        <v>2022</v>
      </c>
      <c r="Z70" s="142">
        <f>EOMONTH(Założenia_kredyty!$D$5,W70)</f>
        <v>44865</v>
      </c>
      <c r="AA70" s="141">
        <f>HLOOKUP(Y70,Założenia!$I$5:$U$11,7,0)</f>
        <v>0</v>
      </c>
      <c r="AB70" s="143">
        <f t="shared" ref="AB70:AB132" si="31">F70+Q70</f>
        <v>47966</v>
      </c>
      <c r="AC70" s="118">
        <f t="shared" si="24"/>
        <v>133798.71</v>
      </c>
      <c r="AD70" s="118">
        <f t="shared" si="25"/>
        <v>47966</v>
      </c>
      <c r="AE70" s="118">
        <f t="shared" si="26"/>
        <v>181764.71</v>
      </c>
      <c r="AF70" s="118">
        <f t="shared" si="27"/>
        <v>8295519.8599999482</v>
      </c>
    </row>
    <row r="71" spans="1:32">
      <c r="A71" s="139">
        <v>66</v>
      </c>
      <c r="B71" s="118">
        <f t="shared" si="21"/>
        <v>8295519.8599999482</v>
      </c>
      <c r="C71" s="115">
        <f t="shared" si="22"/>
        <v>2022</v>
      </c>
      <c r="D71" s="142">
        <f>EOMONTH(Założenia_kredyty!$D$5,A71)</f>
        <v>44895</v>
      </c>
      <c r="E71" s="141">
        <f>HLOOKUP(C71,Założenia!$I$5:$U$11,6,0)+Założenia_kredyty!$D$11</f>
        <v>6.7000000000000004E-2</v>
      </c>
      <c r="F71" s="143">
        <f t="shared" si="28"/>
        <v>45682</v>
      </c>
      <c r="G71" s="118">
        <f>IF(D71&gt;=Założenia_kredyty!$D$6,IF(B71&gt;=Założenia_kredyty!$D$7,Założenia_kredyty!$D$7,B71),0)</f>
        <v>133798.71</v>
      </c>
      <c r="H71" s="118">
        <f>IF(Założenia_kredyty!$D$9="TAK",IF(D71=Założenia_kredyty!$D$6,SUM(Obliczenia_kredyty!F$5:F71),IF(D71&lt;Założenia_kredyty!$D$6,0,F71)),F71)</f>
        <v>45682</v>
      </c>
      <c r="I71" s="118">
        <f t="shared" si="29"/>
        <v>179480.71</v>
      </c>
      <c r="J71" s="118">
        <f t="shared" si="23"/>
        <v>8161721.1499999482</v>
      </c>
      <c r="L71"/>
      <c r="M71"/>
      <c r="N71"/>
      <c r="O71"/>
      <c r="P71"/>
      <c r="Q71"/>
      <c r="R71"/>
      <c r="S71"/>
      <c r="T71"/>
      <c r="U71"/>
      <c r="W71" s="139">
        <v>66</v>
      </c>
      <c r="X71" s="118">
        <f t="shared" si="30"/>
        <v>8295519.8599999482</v>
      </c>
      <c r="Y71" s="115">
        <f t="shared" si="15"/>
        <v>2022</v>
      </c>
      <c r="Z71" s="142">
        <f>EOMONTH(Założenia_kredyty!$D$5,W71)</f>
        <v>44895</v>
      </c>
      <c r="AA71" s="141">
        <f>HLOOKUP(Y71,Założenia!$I$5:$U$11,7,0)</f>
        <v>0</v>
      </c>
      <c r="AB71" s="143">
        <f t="shared" si="31"/>
        <v>45682</v>
      </c>
      <c r="AC71" s="118">
        <f t="shared" si="24"/>
        <v>133798.71</v>
      </c>
      <c r="AD71" s="118">
        <f t="shared" si="25"/>
        <v>45682</v>
      </c>
      <c r="AE71" s="118">
        <f t="shared" si="26"/>
        <v>179480.71</v>
      </c>
      <c r="AF71" s="118">
        <f t="shared" si="27"/>
        <v>8161721.1499999482</v>
      </c>
    </row>
    <row r="72" spans="1:32">
      <c r="A72" s="139">
        <v>67</v>
      </c>
      <c r="B72" s="118">
        <f t="shared" si="21"/>
        <v>8161721.1499999482</v>
      </c>
      <c r="C72" s="115">
        <f t="shared" si="22"/>
        <v>2022</v>
      </c>
      <c r="D72" s="142">
        <f>EOMONTH(Założenia_kredyty!$D$5,A72)</f>
        <v>44926</v>
      </c>
      <c r="E72" s="141">
        <f>HLOOKUP(C72,Założenia!$I$5:$U$11,6,0)+Założenia_kredyty!$D$11</f>
        <v>6.7000000000000004E-2</v>
      </c>
      <c r="F72" s="143">
        <f t="shared" si="28"/>
        <v>46444</v>
      </c>
      <c r="G72" s="118">
        <f>IF(D72&gt;=Założenia_kredyty!$D$6,IF(B72&gt;=Założenia_kredyty!$D$7,Założenia_kredyty!$D$7,B72),0)</f>
        <v>133798.71</v>
      </c>
      <c r="H72" s="118">
        <f>IF(Założenia_kredyty!$D$9="TAK",IF(D72=Założenia_kredyty!$D$6,SUM(Obliczenia_kredyty!F$5:F72),IF(D72&lt;Założenia_kredyty!$D$6,0,F72)),F72)</f>
        <v>46444</v>
      </c>
      <c r="I72" s="118">
        <f t="shared" si="29"/>
        <v>180242.71</v>
      </c>
      <c r="J72" s="118">
        <f t="shared" si="23"/>
        <v>8027922.4399999483</v>
      </c>
      <c r="L72"/>
      <c r="M72"/>
      <c r="N72"/>
      <c r="O72"/>
      <c r="P72"/>
      <c r="Q72"/>
      <c r="R72"/>
      <c r="S72"/>
      <c r="T72"/>
      <c r="U72"/>
      <c r="W72" s="139">
        <v>67</v>
      </c>
      <c r="X72" s="118">
        <f t="shared" si="30"/>
        <v>8161721.1499999482</v>
      </c>
      <c r="Y72" s="115">
        <f t="shared" si="15"/>
        <v>2022</v>
      </c>
      <c r="Z72" s="142">
        <f>EOMONTH(Założenia_kredyty!$D$5,W72)</f>
        <v>44926</v>
      </c>
      <c r="AA72" s="141">
        <f>HLOOKUP(Y72,Założenia!$I$5:$U$11,7,0)</f>
        <v>0</v>
      </c>
      <c r="AB72" s="143">
        <f t="shared" si="31"/>
        <v>46444</v>
      </c>
      <c r="AC72" s="118">
        <f t="shared" si="24"/>
        <v>133798.71</v>
      </c>
      <c r="AD72" s="118">
        <f t="shared" si="25"/>
        <v>46444</v>
      </c>
      <c r="AE72" s="118">
        <f t="shared" si="26"/>
        <v>180242.71</v>
      </c>
      <c r="AF72" s="118">
        <f t="shared" si="27"/>
        <v>8027922.4399999483</v>
      </c>
    </row>
    <row r="73" spans="1:32">
      <c r="A73" s="139">
        <v>68</v>
      </c>
      <c r="B73" s="118">
        <f t="shared" si="21"/>
        <v>8027922.4399999483</v>
      </c>
      <c r="C73" s="115">
        <f t="shared" si="22"/>
        <v>2023</v>
      </c>
      <c r="D73" s="142">
        <f>EOMONTH(Założenia_kredyty!$D$5,A73)</f>
        <v>44957</v>
      </c>
      <c r="E73" s="141">
        <f>HLOOKUP(C73,Założenia!$I$5:$U$11,6,0)+Założenia_kredyty!$D$11</f>
        <v>6.7000000000000004E-2</v>
      </c>
      <c r="F73" s="143">
        <f t="shared" si="28"/>
        <v>45682</v>
      </c>
      <c r="G73" s="118">
        <f>IF(D73&gt;=Założenia_kredyty!$D$6,IF(B73&gt;=Założenia_kredyty!$D$7,Założenia_kredyty!$D$7,B73),0)</f>
        <v>133798.71</v>
      </c>
      <c r="H73" s="118">
        <f>IF(Założenia_kredyty!$D$9="TAK",IF(D73=Założenia_kredyty!$D$6,SUM(Obliczenia_kredyty!F$5:F73),IF(D73&lt;Założenia_kredyty!$D$6,0,F73)),F73)</f>
        <v>45682</v>
      </c>
      <c r="I73" s="118">
        <f t="shared" si="29"/>
        <v>179480.71</v>
      </c>
      <c r="J73" s="118">
        <f t="shared" si="23"/>
        <v>7894123.7299999483</v>
      </c>
      <c r="L73"/>
      <c r="M73"/>
      <c r="N73"/>
      <c r="O73"/>
      <c r="P73"/>
      <c r="Q73"/>
      <c r="R73"/>
      <c r="S73"/>
      <c r="T73"/>
      <c r="U73"/>
      <c r="W73" s="139">
        <v>68</v>
      </c>
      <c r="X73" s="118">
        <f t="shared" si="30"/>
        <v>8027922.4399999483</v>
      </c>
      <c r="Y73" s="115">
        <f t="shared" si="15"/>
        <v>2023</v>
      </c>
      <c r="Z73" s="142">
        <f>EOMONTH(Założenia_kredyty!$D$5,W73)</f>
        <v>44957</v>
      </c>
      <c r="AA73" s="141">
        <f>HLOOKUP(Y73,Założenia!$I$5:$U$11,7,0)</f>
        <v>0</v>
      </c>
      <c r="AB73" s="143">
        <f t="shared" si="31"/>
        <v>45682</v>
      </c>
      <c r="AC73" s="118">
        <f t="shared" si="24"/>
        <v>133798.71</v>
      </c>
      <c r="AD73" s="118">
        <f t="shared" si="25"/>
        <v>45682</v>
      </c>
      <c r="AE73" s="118">
        <f t="shared" si="26"/>
        <v>179480.71</v>
      </c>
      <c r="AF73" s="118">
        <f t="shared" si="27"/>
        <v>7894123.7299999483</v>
      </c>
    </row>
    <row r="74" spans="1:32">
      <c r="A74" s="139">
        <v>69</v>
      </c>
      <c r="B74" s="118">
        <f t="shared" si="21"/>
        <v>7894123.7299999483</v>
      </c>
      <c r="C74" s="115">
        <f t="shared" si="22"/>
        <v>2023</v>
      </c>
      <c r="D74" s="142">
        <f>EOMONTH(Założenia_kredyty!$D$5,A74)</f>
        <v>44985</v>
      </c>
      <c r="E74" s="141">
        <f>HLOOKUP(C74,Założenia!$I$5:$U$11,6,0)+Założenia_kredyty!$D$11</f>
        <v>6.7000000000000004E-2</v>
      </c>
      <c r="F74" s="143">
        <f t="shared" si="28"/>
        <v>40574</v>
      </c>
      <c r="G74" s="118">
        <f>IF(D74&gt;=Założenia_kredyty!$D$6,IF(B74&gt;=Założenia_kredyty!$D$7,Założenia_kredyty!$D$7,B74),0)</f>
        <v>133798.71</v>
      </c>
      <c r="H74" s="118">
        <f>IF(Założenia_kredyty!$D$9="TAK",IF(D74=Założenia_kredyty!$D$6,SUM(Obliczenia_kredyty!F$5:F74),IF(D74&lt;Założenia_kredyty!$D$6,0,F74)),F74)</f>
        <v>40574</v>
      </c>
      <c r="I74" s="118">
        <f t="shared" si="29"/>
        <v>174372.71</v>
      </c>
      <c r="J74" s="118">
        <f t="shared" si="23"/>
        <v>7760325.0199999483</v>
      </c>
      <c r="L74"/>
      <c r="M74"/>
      <c r="N74"/>
      <c r="O74"/>
      <c r="P74"/>
      <c r="Q74"/>
      <c r="R74"/>
      <c r="S74"/>
      <c r="T74"/>
      <c r="U74"/>
      <c r="W74" s="139">
        <v>69</v>
      </c>
      <c r="X74" s="118">
        <f t="shared" si="30"/>
        <v>7894123.7299999483</v>
      </c>
      <c r="Y74" s="115">
        <f t="shared" si="15"/>
        <v>2023</v>
      </c>
      <c r="Z74" s="142">
        <f>EOMONTH(Założenia_kredyty!$D$5,W74)</f>
        <v>44985</v>
      </c>
      <c r="AA74" s="141">
        <f>HLOOKUP(Y74,Założenia!$I$5:$U$11,7,0)</f>
        <v>0</v>
      </c>
      <c r="AB74" s="143">
        <f t="shared" si="31"/>
        <v>40574</v>
      </c>
      <c r="AC74" s="118">
        <f t="shared" si="24"/>
        <v>133798.71</v>
      </c>
      <c r="AD74" s="118">
        <f t="shared" si="25"/>
        <v>40574</v>
      </c>
      <c r="AE74" s="118">
        <f t="shared" si="26"/>
        <v>174372.71</v>
      </c>
      <c r="AF74" s="118">
        <f t="shared" si="27"/>
        <v>7760325.0199999483</v>
      </c>
    </row>
    <row r="75" spans="1:32">
      <c r="A75" s="139">
        <v>70</v>
      </c>
      <c r="B75" s="118">
        <f t="shared" si="21"/>
        <v>7760325.0199999483</v>
      </c>
      <c r="C75" s="115">
        <f t="shared" si="22"/>
        <v>2023</v>
      </c>
      <c r="D75" s="142">
        <f>EOMONTH(Założenia_kredyty!$D$5,A75)</f>
        <v>45016</v>
      </c>
      <c r="E75" s="141">
        <f>HLOOKUP(C75,Założenia!$I$5:$U$11,6,0)+Założenia_kredyty!$D$11</f>
        <v>6.7000000000000004E-2</v>
      </c>
      <c r="F75" s="143">
        <f t="shared" si="28"/>
        <v>44159</v>
      </c>
      <c r="G75" s="118">
        <f>IF(D75&gt;=Założenia_kredyty!$D$6,IF(B75&gt;=Założenia_kredyty!$D$7,Założenia_kredyty!$D$7,B75),0)</f>
        <v>133798.71</v>
      </c>
      <c r="H75" s="118">
        <f>IF(Założenia_kredyty!$D$9="TAK",IF(D75=Założenia_kredyty!$D$6,SUM(Obliczenia_kredyty!F$5:F75),IF(D75&lt;Założenia_kredyty!$D$6,0,F75)),F75)</f>
        <v>44159</v>
      </c>
      <c r="I75" s="118">
        <f t="shared" si="29"/>
        <v>177957.71</v>
      </c>
      <c r="J75" s="118">
        <f t="shared" si="23"/>
        <v>7626526.3099999484</v>
      </c>
      <c r="L75"/>
      <c r="M75"/>
      <c r="N75"/>
      <c r="O75"/>
      <c r="P75"/>
      <c r="Q75"/>
      <c r="R75"/>
      <c r="S75"/>
      <c r="T75"/>
      <c r="U75"/>
      <c r="W75" s="139">
        <v>70</v>
      </c>
      <c r="X75" s="118">
        <f t="shared" si="30"/>
        <v>7760325.0199999483</v>
      </c>
      <c r="Y75" s="115">
        <f t="shared" si="15"/>
        <v>2023</v>
      </c>
      <c r="Z75" s="142">
        <f>EOMONTH(Założenia_kredyty!$D$5,W75)</f>
        <v>45016</v>
      </c>
      <c r="AA75" s="141">
        <f>HLOOKUP(Y75,Założenia!$I$5:$U$11,7,0)</f>
        <v>0</v>
      </c>
      <c r="AB75" s="143">
        <f t="shared" si="31"/>
        <v>44159</v>
      </c>
      <c r="AC75" s="118">
        <f t="shared" si="24"/>
        <v>133798.71</v>
      </c>
      <c r="AD75" s="118">
        <f t="shared" si="25"/>
        <v>44159</v>
      </c>
      <c r="AE75" s="118">
        <f t="shared" si="26"/>
        <v>177957.71</v>
      </c>
      <c r="AF75" s="118">
        <f t="shared" si="27"/>
        <v>7626526.3099999484</v>
      </c>
    </row>
    <row r="76" spans="1:32">
      <c r="A76" s="139">
        <v>71</v>
      </c>
      <c r="B76" s="118">
        <f t="shared" si="21"/>
        <v>7626526.3099999484</v>
      </c>
      <c r="C76" s="115">
        <f t="shared" si="22"/>
        <v>2023</v>
      </c>
      <c r="D76" s="142">
        <f>EOMONTH(Założenia_kredyty!$D$5,A76)</f>
        <v>45046</v>
      </c>
      <c r="E76" s="141">
        <f>HLOOKUP(C76,Założenia!$I$5:$U$11,6,0)+Założenia_kredyty!$D$11</f>
        <v>6.7000000000000004E-2</v>
      </c>
      <c r="F76" s="143">
        <f t="shared" si="28"/>
        <v>41998</v>
      </c>
      <c r="G76" s="118">
        <f>IF(D76&gt;=Założenia_kredyty!$D$6,IF(B76&gt;=Założenia_kredyty!$D$7,Założenia_kredyty!$D$7,B76),0)</f>
        <v>133798.71</v>
      </c>
      <c r="H76" s="118">
        <f>IF(Założenia_kredyty!$D$9="TAK",IF(D76=Założenia_kredyty!$D$6,SUM(Obliczenia_kredyty!F$5:F76),IF(D76&lt;Założenia_kredyty!$D$6,0,F76)),F76)</f>
        <v>41998</v>
      </c>
      <c r="I76" s="118">
        <f t="shared" si="29"/>
        <v>175796.71</v>
      </c>
      <c r="J76" s="118">
        <f t="shared" si="23"/>
        <v>7492727.5999999484</v>
      </c>
      <c r="L76"/>
      <c r="M76"/>
      <c r="N76"/>
      <c r="O76"/>
      <c r="P76"/>
      <c r="Q76"/>
      <c r="R76"/>
      <c r="S76"/>
      <c r="T76"/>
      <c r="U76"/>
      <c r="W76" s="139">
        <v>71</v>
      </c>
      <c r="X76" s="118">
        <f t="shared" si="30"/>
        <v>7626526.3099999484</v>
      </c>
      <c r="Y76" s="115">
        <f t="shared" si="15"/>
        <v>2023</v>
      </c>
      <c r="Z76" s="142">
        <f>EOMONTH(Założenia_kredyty!$D$5,W76)</f>
        <v>45046</v>
      </c>
      <c r="AA76" s="141">
        <f>HLOOKUP(Y76,Założenia!$I$5:$U$11,7,0)</f>
        <v>0</v>
      </c>
      <c r="AB76" s="143">
        <f t="shared" si="31"/>
        <v>41998</v>
      </c>
      <c r="AC76" s="118">
        <f t="shared" si="24"/>
        <v>133798.71</v>
      </c>
      <c r="AD76" s="118">
        <f t="shared" si="25"/>
        <v>41998</v>
      </c>
      <c r="AE76" s="118">
        <f t="shared" si="26"/>
        <v>175796.71</v>
      </c>
      <c r="AF76" s="118">
        <f t="shared" si="27"/>
        <v>7492727.5999999484</v>
      </c>
    </row>
    <row r="77" spans="1:32">
      <c r="A77" s="139">
        <v>72</v>
      </c>
      <c r="B77" s="118">
        <f t="shared" si="21"/>
        <v>7492727.5999999484</v>
      </c>
      <c r="C77" s="115">
        <f t="shared" si="22"/>
        <v>2023</v>
      </c>
      <c r="D77" s="142">
        <f>EOMONTH(Założenia_kredyty!$D$5,A77)</f>
        <v>45077</v>
      </c>
      <c r="E77" s="141">
        <f>HLOOKUP(C77,Założenia!$I$5:$U$11,6,0)+Założenia_kredyty!$D$11</f>
        <v>6.7000000000000004E-2</v>
      </c>
      <c r="F77" s="143">
        <f t="shared" si="28"/>
        <v>42637</v>
      </c>
      <c r="G77" s="118">
        <f>IF(D77&gt;=Założenia_kredyty!$D$6,IF(B77&gt;=Założenia_kredyty!$D$7,Założenia_kredyty!$D$7,B77),0)</f>
        <v>133798.71</v>
      </c>
      <c r="H77" s="118">
        <f>IF(Założenia_kredyty!$D$9="TAK",IF(D77=Założenia_kredyty!$D$6,SUM(Obliczenia_kredyty!F$5:F77),IF(D77&lt;Założenia_kredyty!$D$6,0,F77)),F77)</f>
        <v>42637</v>
      </c>
      <c r="I77" s="118">
        <f t="shared" si="29"/>
        <v>176435.71</v>
      </c>
      <c r="J77" s="118">
        <f t="shared" si="23"/>
        <v>7358928.8899999484</v>
      </c>
      <c r="L77"/>
      <c r="M77"/>
      <c r="N77"/>
      <c r="O77"/>
      <c r="P77"/>
      <c r="Q77"/>
      <c r="R77"/>
      <c r="S77"/>
      <c r="T77"/>
      <c r="U77"/>
      <c r="W77" s="139">
        <v>72</v>
      </c>
      <c r="X77" s="118">
        <f t="shared" si="30"/>
        <v>7492727.5999999484</v>
      </c>
      <c r="Y77" s="115">
        <f t="shared" si="15"/>
        <v>2023</v>
      </c>
      <c r="Z77" s="142">
        <f>EOMONTH(Założenia_kredyty!$D$5,W77)</f>
        <v>45077</v>
      </c>
      <c r="AA77" s="141">
        <f>HLOOKUP(Y77,Założenia!$I$5:$U$11,7,0)</f>
        <v>0</v>
      </c>
      <c r="AB77" s="143">
        <f t="shared" si="31"/>
        <v>42637</v>
      </c>
      <c r="AC77" s="118">
        <f t="shared" si="24"/>
        <v>133798.71</v>
      </c>
      <c r="AD77" s="118">
        <f t="shared" si="25"/>
        <v>42637</v>
      </c>
      <c r="AE77" s="118">
        <f t="shared" si="26"/>
        <v>176435.71</v>
      </c>
      <c r="AF77" s="118">
        <f t="shared" si="27"/>
        <v>7358928.8899999484</v>
      </c>
    </row>
    <row r="78" spans="1:32">
      <c r="A78" s="139">
        <v>73</v>
      </c>
      <c r="B78" s="118">
        <f t="shared" si="21"/>
        <v>7358928.8899999484</v>
      </c>
      <c r="C78" s="115">
        <f t="shared" si="22"/>
        <v>2023</v>
      </c>
      <c r="D78" s="142">
        <f>EOMONTH(Założenia_kredyty!$D$5,A78)</f>
        <v>45107</v>
      </c>
      <c r="E78" s="141">
        <f>HLOOKUP(C78,Założenia!$I$5:$U$11,6,0)+Założenia_kredyty!$D$11</f>
        <v>6.7000000000000004E-2</v>
      </c>
      <c r="F78" s="143">
        <f t="shared" si="28"/>
        <v>40525</v>
      </c>
      <c r="G78" s="118">
        <f>IF(D78&gt;=Założenia_kredyty!$D$6,IF(B78&gt;=Założenia_kredyty!$D$7,Założenia_kredyty!$D$7,B78),0)</f>
        <v>133798.71</v>
      </c>
      <c r="H78" s="118">
        <f>IF(Założenia_kredyty!$D$9="TAK",IF(D78=Założenia_kredyty!$D$6,SUM(Obliczenia_kredyty!F$5:F78),IF(D78&lt;Założenia_kredyty!$D$6,0,F78)),F78)</f>
        <v>40525</v>
      </c>
      <c r="I78" s="118">
        <f t="shared" si="29"/>
        <v>174323.71</v>
      </c>
      <c r="J78" s="118">
        <f t="shared" si="23"/>
        <v>7225130.1799999485</v>
      </c>
      <c r="L78"/>
      <c r="M78"/>
      <c r="N78"/>
      <c r="O78"/>
      <c r="P78"/>
      <c r="Q78"/>
      <c r="R78"/>
      <c r="S78"/>
      <c r="T78"/>
      <c r="U78"/>
      <c r="W78" s="139">
        <v>73</v>
      </c>
      <c r="X78" s="118">
        <f t="shared" si="30"/>
        <v>7358928.8899999484</v>
      </c>
      <c r="Y78" s="115">
        <f t="shared" si="15"/>
        <v>2023</v>
      </c>
      <c r="Z78" s="142">
        <f>EOMONTH(Założenia_kredyty!$D$5,W78)</f>
        <v>45107</v>
      </c>
      <c r="AA78" s="141">
        <f>HLOOKUP(Y78,Założenia!$I$5:$U$11,7,0)</f>
        <v>0</v>
      </c>
      <c r="AB78" s="143">
        <f t="shared" si="31"/>
        <v>40525</v>
      </c>
      <c r="AC78" s="118">
        <f t="shared" si="24"/>
        <v>133798.71</v>
      </c>
      <c r="AD78" s="118">
        <f t="shared" si="25"/>
        <v>40525</v>
      </c>
      <c r="AE78" s="118">
        <f t="shared" si="26"/>
        <v>174323.71</v>
      </c>
      <c r="AF78" s="118">
        <f t="shared" si="27"/>
        <v>7225130.1799999485</v>
      </c>
    </row>
    <row r="79" spans="1:32">
      <c r="A79" s="139">
        <v>74</v>
      </c>
      <c r="B79" s="118">
        <f t="shared" si="21"/>
        <v>7225130.1799999485</v>
      </c>
      <c r="C79" s="115">
        <f t="shared" si="22"/>
        <v>2023</v>
      </c>
      <c r="D79" s="142">
        <f>EOMONTH(Założenia_kredyty!$D$5,A79)</f>
        <v>45138</v>
      </c>
      <c r="E79" s="141">
        <f>HLOOKUP(C79,Założenia!$I$5:$U$11,6,0)+Założenia_kredyty!$D$11</f>
        <v>6.7000000000000004E-2</v>
      </c>
      <c r="F79" s="143">
        <f t="shared" si="28"/>
        <v>41114</v>
      </c>
      <c r="G79" s="118">
        <f>IF(D79&gt;=Założenia_kredyty!$D$6,IF(B79&gt;=Założenia_kredyty!$D$7,Założenia_kredyty!$D$7,B79),0)</f>
        <v>133798.71</v>
      </c>
      <c r="H79" s="118">
        <f>IF(Założenia_kredyty!$D$9="TAK",IF(D79=Założenia_kredyty!$D$6,SUM(Obliczenia_kredyty!F$5:F79),IF(D79&lt;Założenia_kredyty!$D$6,0,F79)),F79)</f>
        <v>41114</v>
      </c>
      <c r="I79" s="118">
        <f t="shared" si="29"/>
        <v>174912.71</v>
      </c>
      <c r="J79" s="118">
        <f t="shared" si="23"/>
        <v>7091331.4699999485</v>
      </c>
      <c r="L79"/>
      <c r="M79"/>
      <c r="N79"/>
      <c r="O79"/>
      <c r="P79"/>
      <c r="Q79"/>
      <c r="R79"/>
      <c r="S79"/>
      <c r="T79"/>
      <c r="U79"/>
      <c r="W79" s="139">
        <v>74</v>
      </c>
      <c r="X79" s="118">
        <f t="shared" si="30"/>
        <v>7225130.1799999485</v>
      </c>
      <c r="Y79" s="115">
        <f t="shared" ref="Y79:Y132" si="32">YEAR(Z79)</f>
        <v>2023</v>
      </c>
      <c r="Z79" s="142">
        <f>EOMONTH(Założenia_kredyty!$D$5,W79)</f>
        <v>45138</v>
      </c>
      <c r="AA79" s="141">
        <f>HLOOKUP(Y79,Założenia!$I$5:$U$11,7,0)</f>
        <v>0</v>
      </c>
      <c r="AB79" s="143">
        <f t="shared" si="31"/>
        <v>41114</v>
      </c>
      <c r="AC79" s="118">
        <f t="shared" si="24"/>
        <v>133798.71</v>
      </c>
      <c r="AD79" s="118">
        <f t="shared" si="25"/>
        <v>41114</v>
      </c>
      <c r="AE79" s="118">
        <f t="shared" si="26"/>
        <v>174912.71</v>
      </c>
      <c r="AF79" s="118">
        <f t="shared" si="27"/>
        <v>7091331.4699999485</v>
      </c>
    </row>
    <row r="80" spans="1:32">
      <c r="A80" s="139">
        <v>75</v>
      </c>
      <c r="B80" s="118">
        <f t="shared" si="21"/>
        <v>7091331.4699999485</v>
      </c>
      <c r="C80" s="115">
        <f t="shared" si="22"/>
        <v>2023</v>
      </c>
      <c r="D80" s="142">
        <f>EOMONTH(Założenia_kredyty!$D$5,A80)</f>
        <v>45169</v>
      </c>
      <c r="E80" s="141">
        <f>HLOOKUP(C80,Założenia!$I$5:$U$11,6,0)+Założenia_kredyty!$D$11</f>
        <v>6.7000000000000004E-2</v>
      </c>
      <c r="F80" s="143">
        <f t="shared" si="28"/>
        <v>40353</v>
      </c>
      <c r="G80" s="118">
        <f>IF(D80&gt;=Założenia_kredyty!$D$6,IF(B80&gt;=Założenia_kredyty!$D$7,Założenia_kredyty!$D$7,B80),0)</f>
        <v>133798.71</v>
      </c>
      <c r="H80" s="118">
        <f>IF(Założenia_kredyty!$D$9="TAK",IF(D80=Założenia_kredyty!$D$6,SUM(Obliczenia_kredyty!F$5:F80),IF(D80&lt;Założenia_kredyty!$D$6,0,F80)),F80)</f>
        <v>40353</v>
      </c>
      <c r="I80" s="118">
        <f t="shared" si="29"/>
        <v>174151.71</v>
      </c>
      <c r="J80" s="118">
        <f t="shared" si="23"/>
        <v>6957532.7599999486</v>
      </c>
      <c r="L80"/>
      <c r="M80"/>
      <c r="N80"/>
      <c r="O80"/>
      <c r="P80"/>
      <c r="Q80"/>
      <c r="R80"/>
      <c r="S80"/>
      <c r="T80"/>
      <c r="U80"/>
      <c r="W80" s="139">
        <v>75</v>
      </c>
      <c r="X80" s="118">
        <f t="shared" si="30"/>
        <v>7091331.4699999485</v>
      </c>
      <c r="Y80" s="115">
        <f t="shared" si="32"/>
        <v>2023</v>
      </c>
      <c r="Z80" s="142">
        <f>EOMONTH(Założenia_kredyty!$D$5,W80)</f>
        <v>45169</v>
      </c>
      <c r="AA80" s="141">
        <f>HLOOKUP(Y80,Założenia!$I$5:$U$11,7,0)</f>
        <v>0</v>
      </c>
      <c r="AB80" s="143">
        <f t="shared" si="31"/>
        <v>40353</v>
      </c>
      <c r="AC80" s="118">
        <f t="shared" si="24"/>
        <v>133798.71</v>
      </c>
      <c r="AD80" s="118">
        <f t="shared" si="25"/>
        <v>40353</v>
      </c>
      <c r="AE80" s="118">
        <f t="shared" si="26"/>
        <v>174151.71</v>
      </c>
      <c r="AF80" s="118">
        <f t="shared" si="27"/>
        <v>6957532.7599999486</v>
      </c>
    </row>
    <row r="81" spans="1:32">
      <c r="A81" s="139">
        <v>76</v>
      </c>
      <c r="B81" s="118">
        <f t="shared" si="21"/>
        <v>6957532.7599999486</v>
      </c>
      <c r="C81" s="115">
        <f t="shared" si="22"/>
        <v>2023</v>
      </c>
      <c r="D81" s="142">
        <f>EOMONTH(Założenia_kredyty!$D$5,A81)</f>
        <v>45199</v>
      </c>
      <c r="E81" s="141">
        <f>HLOOKUP(C81,Założenia!$I$5:$U$11,6,0)+Założenia_kredyty!$D$11</f>
        <v>6.7000000000000004E-2</v>
      </c>
      <c r="F81" s="143">
        <f t="shared" si="28"/>
        <v>38314</v>
      </c>
      <c r="G81" s="118">
        <f>IF(D81&gt;=Założenia_kredyty!$D$6,IF(B81&gt;=Założenia_kredyty!$D$7,Założenia_kredyty!$D$7,B81),0)</f>
        <v>133798.71</v>
      </c>
      <c r="H81" s="118">
        <f>IF(Założenia_kredyty!$D$9="TAK",IF(D81=Założenia_kredyty!$D$6,SUM(Obliczenia_kredyty!F$5:F81),IF(D81&lt;Założenia_kredyty!$D$6,0,F81)),F81)</f>
        <v>38314</v>
      </c>
      <c r="I81" s="118">
        <f t="shared" si="29"/>
        <v>172112.71</v>
      </c>
      <c r="J81" s="118">
        <f t="shared" si="23"/>
        <v>6823734.0499999486</v>
      </c>
      <c r="L81"/>
      <c r="M81"/>
      <c r="N81"/>
      <c r="O81"/>
      <c r="P81"/>
      <c r="Q81"/>
      <c r="R81"/>
      <c r="S81"/>
      <c r="T81"/>
      <c r="U81"/>
      <c r="W81" s="139">
        <v>76</v>
      </c>
      <c r="X81" s="118">
        <f t="shared" si="30"/>
        <v>6957532.7599999486</v>
      </c>
      <c r="Y81" s="115">
        <f t="shared" si="32"/>
        <v>2023</v>
      </c>
      <c r="Z81" s="142">
        <f>EOMONTH(Założenia_kredyty!$D$5,W81)</f>
        <v>45199</v>
      </c>
      <c r="AA81" s="141">
        <f>HLOOKUP(Y81,Założenia!$I$5:$U$11,7,0)</f>
        <v>0</v>
      </c>
      <c r="AB81" s="143">
        <f t="shared" si="31"/>
        <v>38314</v>
      </c>
      <c r="AC81" s="118">
        <f t="shared" si="24"/>
        <v>133798.71</v>
      </c>
      <c r="AD81" s="118">
        <f t="shared" si="25"/>
        <v>38314</v>
      </c>
      <c r="AE81" s="118">
        <f t="shared" si="26"/>
        <v>172112.71</v>
      </c>
      <c r="AF81" s="118">
        <f t="shared" si="27"/>
        <v>6823734.0499999486</v>
      </c>
    </row>
    <row r="82" spans="1:32">
      <c r="A82" s="139">
        <v>77</v>
      </c>
      <c r="B82" s="118">
        <f t="shared" si="21"/>
        <v>6823734.0499999486</v>
      </c>
      <c r="C82" s="115">
        <f t="shared" si="22"/>
        <v>2023</v>
      </c>
      <c r="D82" s="142">
        <f>EOMONTH(Założenia_kredyty!$D$5,A82)</f>
        <v>45230</v>
      </c>
      <c r="E82" s="141">
        <f>HLOOKUP(C82,Założenia!$I$5:$U$11,6,0)+Założenia_kredyty!$D$11</f>
        <v>6.7000000000000004E-2</v>
      </c>
      <c r="F82" s="143">
        <f t="shared" si="28"/>
        <v>38830</v>
      </c>
      <c r="G82" s="118">
        <f>IF(D82&gt;=Założenia_kredyty!$D$6,IF(B82&gt;=Założenia_kredyty!$D$7,Założenia_kredyty!$D$7,B82),0)</f>
        <v>133798.71</v>
      </c>
      <c r="H82" s="118">
        <f>IF(Założenia_kredyty!$D$9="TAK",IF(D82=Założenia_kredyty!$D$6,SUM(Obliczenia_kredyty!F$5:F82),IF(D82&lt;Założenia_kredyty!$D$6,0,F82)),F82)</f>
        <v>38830</v>
      </c>
      <c r="I82" s="118">
        <f t="shared" si="29"/>
        <v>172628.71</v>
      </c>
      <c r="J82" s="118">
        <f t="shared" si="23"/>
        <v>6689935.3399999486</v>
      </c>
      <c r="L82"/>
      <c r="M82"/>
      <c r="N82"/>
      <c r="O82"/>
      <c r="P82"/>
      <c r="Q82"/>
      <c r="R82"/>
      <c r="S82"/>
      <c r="T82"/>
      <c r="U82"/>
      <c r="W82" s="139">
        <v>77</v>
      </c>
      <c r="X82" s="118">
        <f t="shared" si="30"/>
        <v>6823734.0499999486</v>
      </c>
      <c r="Y82" s="115">
        <f t="shared" si="32"/>
        <v>2023</v>
      </c>
      <c r="Z82" s="142">
        <f>EOMONTH(Założenia_kredyty!$D$5,W82)</f>
        <v>45230</v>
      </c>
      <c r="AA82" s="141">
        <f>HLOOKUP(Y82,Założenia!$I$5:$U$11,7,0)</f>
        <v>0</v>
      </c>
      <c r="AB82" s="143">
        <f t="shared" si="31"/>
        <v>38830</v>
      </c>
      <c r="AC82" s="118">
        <f t="shared" si="24"/>
        <v>133798.71</v>
      </c>
      <c r="AD82" s="118">
        <f t="shared" si="25"/>
        <v>38830</v>
      </c>
      <c r="AE82" s="118">
        <f t="shared" si="26"/>
        <v>172628.71</v>
      </c>
      <c r="AF82" s="118">
        <f t="shared" si="27"/>
        <v>6689935.3399999486</v>
      </c>
    </row>
    <row r="83" spans="1:32">
      <c r="A83" s="139">
        <v>78</v>
      </c>
      <c r="B83" s="118">
        <f t="shared" si="21"/>
        <v>6689935.3399999486</v>
      </c>
      <c r="C83" s="115">
        <f t="shared" si="22"/>
        <v>2023</v>
      </c>
      <c r="D83" s="142">
        <f>EOMONTH(Założenia_kredyty!$D$5,A83)</f>
        <v>45260</v>
      </c>
      <c r="E83" s="141">
        <f>HLOOKUP(C83,Założenia!$I$5:$U$11,6,0)+Założenia_kredyty!$D$11</f>
        <v>6.7000000000000004E-2</v>
      </c>
      <c r="F83" s="143">
        <f t="shared" si="28"/>
        <v>36840</v>
      </c>
      <c r="G83" s="118">
        <f>IF(D83&gt;=Założenia_kredyty!$D$6,IF(B83&gt;=Założenia_kredyty!$D$7,Założenia_kredyty!$D$7,B83),0)</f>
        <v>133798.71</v>
      </c>
      <c r="H83" s="118">
        <f>IF(Założenia_kredyty!$D$9="TAK",IF(D83=Założenia_kredyty!$D$6,SUM(Obliczenia_kredyty!F$5:F83),IF(D83&lt;Założenia_kredyty!$D$6,0,F83)),F83)</f>
        <v>36840</v>
      </c>
      <c r="I83" s="118">
        <f t="shared" si="29"/>
        <v>170638.71</v>
      </c>
      <c r="J83" s="118">
        <f t="shared" si="23"/>
        <v>6556136.6299999487</v>
      </c>
      <c r="L83"/>
      <c r="M83"/>
      <c r="N83"/>
      <c r="O83"/>
      <c r="P83"/>
      <c r="Q83"/>
      <c r="R83"/>
      <c r="S83"/>
      <c r="T83"/>
      <c r="U83"/>
      <c r="W83" s="139">
        <v>78</v>
      </c>
      <c r="X83" s="118">
        <f t="shared" si="30"/>
        <v>6689935.3399999486</v>
      </c>
      <c r="Y83" s="115">
        <f t="shared" si="32"/>
        <v>2023</v>
      </c>
      <c r="Z83" s="142">
        <f>EOMONTH(Założenia_kredyty!$D$5,W83)</f>
        <v>45260</v>
      </c>
      <c r="AA83" s="141">
        <f>HLOOKUP(Y83,Założenia!$I$5:$U$11,7,0)</f>
        <v>0</v>
      </c>
      <c r="AB83" s="143">
        <f t="shared" si="31"/>
        <v>36840</v>
      </c>
      <c r="AC83" s="118">
        <f t="shared" si="24"/>
        <v>133798.71</v>
      </c>
      <c r="AD83" s="118">
        <f t="shared" si="25"/>
        <v>36840</v>
      </c>
      <c r="AE83" s="118">
        <f t="shared" si="26"/>
        <v>170638.71</v>
      </c>
      <c r="AF83" s="118">
        <f t="shared" si="27"/>
        <v>6556136.6299999487</v>
      </c>
    </row>
    <row r="84" spans="1:32">
      <c r="A84" s="139">
        <v>79</v>
      </c>
      <c r="B84" s="118">
        <f t="shared" ref="B84:B115" si="33">J83</f>
        <v>6556136.6299999487</v>
      </c>
      <c r="C84" s="115">
        <f t="shared" si="22"/>
        <v>2023</v>
      </c>
      <c r="D84" s="142">
        <f>EOMONTH(Założenia_kredyty!$D$5,A84)</f>
        <v>45291</v>
      </c>
      <c r="E84" s="141">
        <f>HLOOKUP(C84,Założenia!$I$5:$U$11,6,0)+Założenia_kredyty!$D$11</f>
        <v>6.7000000000000004E-2</v>
      </c>
      <c r="F84" s="143">
        <f t="shared" si="28"/>
        <v>37307</v>
      </c>
      <c r="G84" s="118">
        <f>IF(D84&gt;=Założenia_kredyty!$D$6,IF(B84&gt;=Założenia_kredyty!$D$7,Założenia_kredyty!$D$7,B84),0)</f>
        <v>133798.71</v>
      </c>
      <c r="H84" s="118">
        <f>IF(Założenia_kredyty!$D$9="TAK",IF(D84=Założenia_kredyty!$D$6,SUM(Obliczenia_kredyty!F$5:F84),IF(D84&lt;Założenia_kredyty!$D$6,0,F84)),F84)</f>
        <v>37307</v>
      </c>
      <c r="I84" s="118">
        <f t="shared" si="29"/>
        <v>171105.71</v>
      </c>
      <c r="J84" s="118">
        <f t="shared" si="23"/>
        <v>6422337.9199999487</v>
      </c>
      <c r="L84"/>
      <c r="M84"/>
      <c r="N84"/>
      <c r="O84"/>
      <c r="P84"/>
      <c r="Q84"/>
      <c r="R84"/>
      <c r="S84"/>
      <c r="T84"/>
      <c r="U84"/>
      <c r="W84" s="139">
        <v>79</v>
      </c>
      <c r="X84" s="118">
        <f t="shared" si="30"/>
        <v>6556136.6299999487</v>
      </c>
      <c r="Y84" s="115">
        <f t="shared" si="32"/>
        <v>2023</v>
      </c>
      <c r="Z84" s="142">
        <f>EOMONTH(Założenia_kredyty!$D$5,W84)</f>
        <v>45291</v>
      </c>
      <c r="AA84" s="141">
        <f>HLOOKUP(Y84,Założenia!$I$5:$U$11,7,0)</f>
        <v>0</v>
      </c>
      <c r="AB84" s="143">
        <f t="shared" si="31"/>
        <v>37307</v>
      </c>
      <c r="AC84" s="118">
        <f t="shared" si="24"/>
        <v>133798.71</v>
      </c>
      <c r="AD84" s="118">
        <f t="shared" si="25"/>
        <v>37307</v>
      </c>
      <c r="AE84" s="118">
        <f t="shared" si="26"/>
        <v>171105.71</v>
      </c>
      <c r="AF84" s="118">
        <f t="shared" si="27"/>
        <v>6422337.9199999487</v>
      </c>
    </row>
    <row r="85" spans="1:32">
      <c r="A85" s="139">
        <v>80</v>
      </c>
      <c r="B85" s="118">
        <f t="shared" si="33"/>
        <v>6422337.9199999487</v>
      </c>
      <c r="C85" s="115">
        <f t="shared" si="22"/>
        <v>2024</v>
      </c>
      <c r="D85" s="142">
        <f>EOMONTH(Założenia_kredyty!$D$5,A85)</f>
        <v>45322</v>
      </c>
      <c r="E85" s="141">
        <f>HLOOKUP(C85,Założenia!$I$5:$U$11,6,0)+Założenia_kredyty!$D$11</f>
        <v>6.7000000000000004E-2</v>
      </c>
      <c r="F85" s="143">
        <f t="shared" si="28"/>
        <v>36546</v>
      </c>
      <c r="G85" s="118">
        <f>IF(D85&gt;=Założenia_kredyty!$D$6,IF(B85&gt;=Założenia_kredyty!$D$7,Założenia_kredyty!$D$7,B85),0)</f>
        <v>133798.71</v>
      </c>
      <c r="H85" s="118">
        <f>IF(Założenia_kredyty!$D$9="TAK",IF(D85=Założenia_kredyty!$D$6,SUM(Obliczenia_kredyty!F$5:F85),IF(D85&lt;Założenia_kredyty!$D$6,0,F85)),F85)</f>
        <v>36546</v>
      </c>
      <c r="I85" s="118">
        <f t="shared" si="29"/>
        <v>170344.71</v>
      </c>
      <c r="J85" s="118">
        <f t="shared" si="23"/>
        <v>6288539.2099999487</v>
      </c>
      <c r="L85"/>
      <c r="M85"/>
      <c r="N85"/>
      <c r="O85"/>
      <c r="P85"/>
      <c r="Q85"/>
      <c r="R85"/>
      <c r="S85"/>
      <c r="T85"/>
      <c r="U85"/>
      <c r="W85" s="139">
        <v>80</v>
      </c>
      <c r="X85" s="118">
        <f t="shared" si="30"/>
        <v>6422337.9199999487</v>
      </c>
      <c r="Y85" s="115">
        <f t="shared" si="32"/>
        <v>2024</v>
      </c>
      <c r="Z85" s="142">
        <f>EOMONTH(Założenia_kredyty!$D$5,W85)</f>
        <v>45322</v>
      </c>
      <c r="AA85" s="141">
        <f>HLOOKUP(Y85,Założenia!$I$5:$U$11,7,0)</f>
        <v>0</v>
      </c>
      <c r="AB85" s="143">
        <f t="shared" si="31"/>
        <v>36546</v>
      </c>
      <c r="AC85" s="118">
        <f t="shared" si="24"/>
        <v>133798.71</v>
      </c>
      <c r="AD85" s="118">
        <f t="shared" si="25"/>
        <v>36546</v>
      </c>
      <c r="AE85" s="118">
        <f t="shared" si="26"/>
        <v>170344.71</v>
      </c>
      <c r="AF85" s="118">
        <f t="shared" si="27"/>
        <v>6288539.2099999487</v>
      </c>
    </row>
    <row r="86" spans="1:32">
      <c r="A86" s="139">
        <v>81</v>
      </c>
      <c r="B86" s="118">
        <f t="shared" si="33"/>
        <v>6288539.2099999487</v>
      </c>
      <c r="C86" s="115">
        <f t="shared" si="22"/>
        <v>2024</v>
      </c>
      <c r="D86" s="142">
        <f>EOMONTH(Założenia_kredyty!$D$5,A86)</f>
        <v>45351</v>
      </c>
      <c r="E86" s="141">
        <f>HLOOKUP(C86,Założenia!$I$5:$U$11,6,0)+Założenia_kredyty!$D$11</f>
        <v>6.7000000000000004E-2</v>
      </c>
      <c r="F86" s="143">
        <f t="shared" si="28"/>
        <v>33476</v>
      </c>
      <c r="G86" s="118">
        <f>IF(D86&gt;=Założenia_kredyty!$D$6,IF(B86&gt;=Założenia_kredyty!$D$7,Założenia_kredyty!$D$7,B86),0)</f>
        <v>133798.71</v>
      </c>
      <c r="H86" s="118">
        <f>IF(Założenia_kredyty!$D$9="TAK",IF(D86=Założenia_kredyty!$D$6,SUM(Obliczenia_kredyty!F$5:F86),IF(D86&lt;Założenia_kredyty!$D$6,0,F86)),F86)</f>
        <v>33476</v>
      </c>
      <c r="I86" s="118">
        <f t="shared" si="29"/>
        <v>167274.71</v>
      </c>
      <c r="J86" s="118">
        <f t="shared" si="23"/>
        <v>6154740.4999999488</v>
      </c>
      <c r="L86"/>
      <c r="M86"/>
      <c r="N86"/>
      <c r="O86"/>
      <c r="P86"/>
      <c r="Q86"/>
      <c r="R86"/>
      <c r="S86"/>
      <c r="T86"/>
      <c r="U86"/>
      <c r="W86" s="139">
        <v>81</v>
      </c>
      <c r="X86" s="118">
        <f t="shared" si="30"/>
        <v>6288539.2099999487</v>
      </c>
      <c r="Y86" s="115">
        <f t="shared" si="32"/>
        <v>2024</v>
      </c>
      <c r="Z86" s="142">
        <f>EOMONTH(Założenia_kredyty!$D$5,W86)</f>
        <v>45351</v>
      </c>
      <c r="AA86" s="141">
        <f>HLOOKUP(Y86,Założenia!$I$5:$U$11,7,0)</f>
        <v>0</v>
      </c>
      <c r="AB86" s="143">
        <f t="shared" si="31"/>
        <v>33476</v>
      </c>
      <c r="AC86" s="118">
        <f t="shared" si="24"/>
        <v>133798.71</v>
      </c>
      <c r="AD86" s="118">
        <f t="shared" si="25"/>
        <v>33476</v>
      </c>
      <c r="AE86" s="118">
        <f t="shared" si="26"/>
        <v>167274.71</v>
      </c>
      <c r="AF86" s="118">
        <f t="shared" si="27"/>
        <v>6154740.4999999488</v>
      </c>
    </row>
    <row r="87" spans="1:32">
      <c r="A87" s="139">
        <v>82</v>
      </c>
      <c r="B87" s="118">
        <f t="shared" si="33"/>
        <v>6154740.4999999488</v>
      </c>
      <c r="C87" s="115">
        <f t="shared" si="22"/>
        <v>2024</v>
      </c>
      <c r="D87" s="142">
        <f>EOMONTH(Założenia_kredyty!$D$5,A87)</f>
        <v>45382</v>
      </c>
      <c r="E87" s="141">
        <f>HLOOKUP(C87,Założenia!$I$5:$U$11,6,0)+Założenia_kredyty!$D$11</f>
        <v>6.7000000000000004E-2</v>
      </c>
      <c r="F87" s="143">
        <f t="shared" si="28"/>
        <v>35023</v>
      </c>
      <c r="G87" s="118">
        <f>IF(D87&gt;=Założenia_kredyty!$D$6,IF(B87&gt;=Założenia_kredyty!$D$7,Założenia_kredyty!$D$7,B87),0)</f>
        <v>133798.71</v>
      </c>
      <c r="H87" s="118">
        <f>IF(Założenia_kredyty!$D$9="TAK",IF(D87=Założenia_kredyty!$D$6,SUM(Obliczenia_kredyty!F$5:F87),IF(D87&lt;Założenia_kredyty!$D$6,0,F87)),F87)</f>
        <v>35023</v>
      </c>
      <c r="I87" s="118">
        <f t="shared" si="29"/>
        <v>168821.71</v>
      </c>
      <c r="J87" s="118">
        <f t="shared" si="23"/>
        <v>6020941.7899999488</v>
      </c>
      <c r="L87"/>
      <c r="M87"/>
      <c r="N87"/>
      <c r="O87"/>
      <c r="P87"/>
      <c r="Q87"/>
      <c r="R87"/>
      <c r="S87"/>
      <c r="T87"/>
      <c r="U87"/>
      <c r="W87" s="139">
        <v>82</v>
      </c>
      <c r="X87" s="118">
        <f t="shared" si="30"/>
        <v>6154740.4999999488</v>
      </c>
      <c r="Y87" s="115">
        <f t="shared" si="32"/>
        <v>2024</v>
      </c>
      <c r="Z87" s="142">
        <f>EOMONTH(Założenia_kredyty!$D$5,W87)</f>
        <v>45382</v>
      </c>
      <c r="AA87" s="141">
        <f>HLOOKUP(Y87,Założenia!$I$5:$U$11,7,0)</f>
        <v>0</v>
      </c>
      <c r="AB87" s="143">
        <f t="shared" si="31"/>
        <v>35023</v>
      </c>
      <c r="AC87" s="118">
        <f t="shared" si="24"/>
        <v>133798.71</v>
      </c>
      <c r="AD87" s="118">
        <f t="shared" si="25"/>
        <v>35023</v>
      </c>
      <c r="AE87" s="118">
        <f t="shared" si="26"/>
        <v>168821.71</v>
      </c>
      <c r="AF87" s="118">
        <f t="shared" si="27"/>
        <v>6020941.7899999488</v>
      </c>
    </row>
    <row r="88" spans="1:32">
      <c r="A88" s="139">
        <v>83</v>
      </c>
      <c r="B88" s="118">
        <f t="shared" si="33"/>
        <v>6020941.7899999488</v>
      </c>
      <c r="C88" s="115">
        <f t="shared" si="22"/>
        <v>2024</v>
      </c>
      <c r="D88" s="142">
        <f>EOMONTH(Założenia_kredyty!$D$5,A88)</f>
        <v>45412</v>
      </c>
      <c r="E88" s="141">
        <f>HLOOKUP(C88,Założenia!$I$5:$U$11,6,0)+Założenia_kredyty!$D$11</f>
        <v>6.7000000000000004E-2</v>
      </c>
      <c r="F88" s="143">
        <f t="shared" si="28"/>
        <v>33156</v>
      </c>
      <c r="G88" s="118">
        <f>IF(D88&gt;=Założenia_kredyty!$D$6,IF(B88&gt;=Założenia_kredyty!$D$7,Założenia_kredyty!$D$7,B88),0)</f>
        <v>133798.71</v>
      </c>
      <c r="H88" s="118">
        <f>IF(Założenia_kredyty!$D$9="TAK",IF(D88=Założenia_kredyty!$D$6,SUM(Obliczenia_kredyty!F$5:F88),IF(D88&lt;Założenia_kredyty!$D$6,0,F88)),F88)</f>
        <v>33156</v>
      </c>
      <c r="I88" s="118">
        <f t="shared" si="29"/>
        <v>166954.71</v>
      </c>
      <c r="J88" s="118">
        <f t="shared" si="23"/>
        <v>5887143.0799999489</v>
      </c>
      <c r="L88"/>
      <c r="M88"/>
      <c r="N88"/>
      <c r="O88"/>
      <c r="P88"/>
      <c r="Q88"/>
      <c r="R88"/>
      <c r="S88"/>
      <c r="T88"/>
      <c r="U88"/>
      <c r="W88" s="139">
        <v>83</v>
      </c>
      <c r="X88" s="118">
        <f t="shared" si="30"/>
        <v>6020941.7899999488</v>
      </c>
      <c r="Y88" s="115">
        <f t="shared" si="32"/>
        <v>2024</v>
      </c>
      <c r="Z88" s="142">
        <f>EOMONTH(Założenia_kredyty!$D$5,W88)</f>
        <v>45412</v>
      </c>
      <c r="AA88" s="141">
        <f>HLOOKUP(Y88,Założenia!$I$5:$U$11,7,0)</f>
        <v>0</v>
      </c>
      <c r="AB88" s="143">
        <f t="shared" si="31"/>
        <v>33156</v>
      </c>
      <c r="AC88" s="118">
        <f t="shared" si="24"/>
        <v>133798.71</v>
      </c>
      <c r="AD88" s="118">
        <f t="shared" si="25"/>
        <v>33156</v>
      </c>
      <c r="AE88" s="118">
        <f t="shared" si="26"/>
        <v>166954.71</v>
      </c>
      <c r="AF88" s="118">
        <f t="shared" si="27"/>
        <v>5887143.0799999489</v>
      </c>
    </row>
    <row r="89" spans="1:32">
      <c r="A89" s="139">
        <v>84</v>
      </c>
      <c r="B89" s="118">
        <f t="shared" si="33"/>
        <v>5887143.0799999489</v>
      </c>
      <c r="C89" s="115">
        <f t="shared" si="22"/>
        <v>2024</v>
      </c>
      <c r="D89" s="142">
        <f>EOMONTH(Założenia_kredyty!$D$5,A89)</f>
        <v>45443</v>
      </c>
      <c r="E89" s="141">
        <f>HLOOKUP(C89,Założenia!$I$5:$U$11,6,0)+Założenia_kredyty!$D$11</f>
        <v>6.7000000000000004E-2</v>
      </c>
      <c r="F89" s="143">
        <f t="shared" si="28"/>
        <v>33500</v>
      </c>
      <c r="G89" s="118">
        <f>IF(D89&gt;=Założenia_kredyty!$D$6,IF(B89&gt;=Założenia_kredyty!$D$7,Założenia_kredyty!$D$7,B89),0)</f>
        <v>133798.71</v>
      </c>
      <c r="H89" s="118">
        <f>IF(Założenia_kredyty!$D$9="TAK",IF(D89=Założenia_kredyty!$D$6,SUM(Obliczenia_kredyty!F$5:F89),IF(D89&lt;Założenia_kredyty!$D$6,0,F89)),F89)</f>
        <v>33500</v>
      </c>
      <c r="I89" s="118">
        <f t="shared" si="29"/>
        <v>167298.71</v>
      </c>
      <c r="J89" s="118">
        <f t="shared" si="23"/>
        <v>5753344.3699999489</v>
      </c>
      <c r="L89"/>
      <c r="M89"/>
      <c r="N89"/>
      <c r="O89"/>
      <c r="P89"/>
      <c r="Q89"/>
      <c r="R89"/>
      <c r="S89"/>
      <c r="T89"/>
      <c r="U89"/>
      <c r="W89" s="139">
        <v>84</v>
      </c>
      <c r="X89" s="118">
        <f t="shared" si="30"/>
        <v>5887143.0799999489</v>
      </c>
      <c r="Y89" s="115">
        <f t="shared" si="32"/>
        <v>2024</v>
      </c>
      <c r="Z89" s="142">
        <f>EOMONTH(Założenia_kredyty!$D$5,W89)</f>
        <v>45443</v>
      </c>
      <c r="AA89" s="141">
        <f>HLOOKUP(Y89,Założenia!$I$5:$U$11,7,0)</f>
        <v>0</v>
      </c>
      <c r="AB89" s="143">
        <f t="shared" si="31"/>
        <v>33500</v>
      </c>
      <c r="AC89" s="118">
        <f t="shared" si="24"/>
        <v>133798.71</v>
      </c>
      <c r="AD89" s="118">
        <f t="shared" si="25"/>
        <v>33500</v>
      </c>
      <c r="AE89" s="118">
        <f t="shared" si="26"/>
        <v>167298.71</v>
      </c>
      <c r="AF89" s="118">
        <f t="shared" si="27"/>
        <v>5753344.3699999489</v>
      </c>
    </row>
    <row r="90" spans="1:32">
      <c r="A90" s="139">
        <v>85</v>
      </c>
      <c r="B90" s="118">
        <f t="shared" si="33"/>
        <v>5753344.3699999489</v>
      </c>
      <c r="C90" s="115">
        <f t="shared" si="22"/>
        <v>2024</v>
      </c>
      <c r="D90" s="142">
        <f>EOMONTH(Założenia_kredyty!$D$5,A90)</f>
        <v>45473</v>
      </c>
      <c r="E90" s="141">
        <f>HLOOKUP(C90,Założenia!$I$5:$U$11,6,0)+Założenia_kredyty!$D$11</f>
        <v>6.7000000000000004E-2</v>
      </c>
      <c r="F90" s="143">
        <f t="shared" si="28"/>
        <v>31683</v>
      </c>
      <c r="G90" s="118">
        <f>IF(D90&gt;=Założenia_kredyty!$D$6,IF(B90&gt;=Założenia_kredyty!$D$7,Założenia_kredyty!$D$7,B90),0)</f>
        <v>133798.71</v>
      </c>
      <c r="H90" s="118">
        <f>IF(Założenia_kredyty!$D$9="TAK",IF(D90=Założenia_kredyty!$D$6,SUM(Obliczenia_kredyty!F$5:F90),IF(D90&lt;Założenia_kredyty!$D$6,0,F90)),F90)</f>
        <v>31683</v>
      </c>
      <c r="I90" s="118">
        <f t="shared" si="29"/>
        <v>165481.71</v>
      </c>
      <c r="J90" s="118">
        <f t="shared" si="23"/>
        <v>5619545.6599999489</v>
      </c>
      <c r="L90"/>
      <c r="M90"/>
      <c r="N90"/>
      <c r="O90"/>
      <c r="P90"/>
      <c r="Q90"/>
      <c r="R90"/>
      <c r="S90"/>
      <c r="T90"/>
      <c r="U90"/>
      <c r="W90" s="139">
        <v>85</v>
      </c>
      <c r="X90" s="118">
        <f t="shared" si="30"/>
        <v>5753344.3699999489</v>
      </c>
      <c r="Y90" s="115">
        <f t="shared" si="32"/>
        <v>2024</v>
      </c>
      <c r="Z90" s="142">
        <f>EOMONTH(Założenia_kredyty!$D$5,W90)</f>
        <v>45473</v>
      </c>
      <c r="AA90" s="141">
        <f>HLOOKUP(Y90,Założenia!$I$5:$U$11,7,0)</f>
        <v>0</v>
      </c>
      <c r="AB90" s="143">
        <f t="shared" si="31"/>
        <v>31683</v>
      </c>
      <c r="AC90" s="118">
        <f t="shared" si="24"/>
        <v>133798.71</v>
      </c>
      <c r="AD90" s="118">
        <f t="shared" si="25"/>
        <v>31683</v>
      </c>
      <c r="AE90" s="118">
        <f t="shared" si="26"/>
        <v>165481.71</v>
      </c>
      <c r="AF90" s="118">
        <f t="shared" si="27"/>
        <v>5619545.6599999489</v>
      </c>
    </row>
    <row r="91" spans="1:32">
      <c r="A91" s="139">
        <v>86</v>
      </c>
      <c r="B91" s="118">
        <f t="shared" si="33"/>
        <v>5619545.6599999489</v>
      </c>
      <c r="C91" s="115">
        <f t="shared" si="22"/>
        <v>2024</v>
      </c>
      <c r="D91" s="142">
        <f>EOMONTH(Założenia_kredyty!$D$5,A91)</f>
        <v>45504</v>
      </c>
      <c r="E91" s="141">
        <f>HLOOKUP(C91,Założenia!$I$5:$U$11,6,0)+Założenia_kredyty!$D$11</f>
        <v>6.7000000000000004E-2</v>
      </c>
      <c r="F91" s="143">
        <f t="shared" si="28"/>
        <v>31978</v>
      </c>
      <c r="G91" s="118">
        <f>IF(D91&gt;=Założenia_kredyty!$D$6,IF(B91&gt;=Założenia_kredyty!$D$7,Założenia_kredyty!$D$7,B91),0)</f>
        <v>133798.71</v>
      </c>
      <c r="H91" s="118">
        <f>IF(Założenia_kredyty!$D$9="TAK",IF(D91=Założenia_kredyty!$D$6,SUM(Obliczenia_kredyty!F$5:F91),IF(D91&lt;Założenia_kredyty!$D$6,0,F91)),F91)</f>
        <v>31978</v>
      </c>
      <c r="I91" s="118">
        <f t="shared" si="29"/>
        <v>165776.71</v>
      </c>
      <c r="J91" s="118">
        <f t="shared" si="23"/>
        <v>5485746.949999949</v>
      </c>
      <c r="L91"/>
      <c r="M91"/>
      <c r="N91"/>
      <c r="O91"/>
      <c r="P91"/>
      <c r="Q91"/>
      <c r="R91"/>
      <c r="S91"/>
      <c r="T91"/>
      <c r="U91"/>
      <c r="W91" s="139">
        <v>86</v>
      </c>
      <c r="X91" s="118">
        <f t="shared" si="30"/>
        <v>5619545.6599999489</v>
      </c>
      <c r="Y91" s="115">
        <f t="shared" si="32"/>
        <v>2024</v>
      </c>
      <c r="Z91" s="142">
        <f>EOMONTH(Założenia_kredyty!$D$5,W91)</f>
        <v>45504</v>
      </c>
      <c r="AA91" s="141">
        <f>HLOOKUP(Y91,Założenia!$I$5:$U$11,7,0)</f>
        <v>0</v>
      </c>
      <c r="AB91" s="143">
        <f t="shared" si="31"/>
        <v>31978</v>
      </c>
      <c r="AC91" s="118">
        <f t="shared" si="24"/>
        <v>133798.71</v>
      </c>
      <c r="AD91" s="118">
        <f t="shared" si="25"/>
        <v>31978</v>
      </c>
      <c r="AE91" s="118">
        <f t="shared" si="26"/>
        <v>165776.71</v>
      </c>
      <c r="AF91" s="118">
        <f t="shared" si="27"/>
        <v>5485746.949999949</v>
      </c>
    </row>
    <row r="92" spans="1:32">
      <c r="A92" s="139">
        <v>87</v>
      </c>
      <c r="B92" s="118">
        <f t="shared" si="33"/>
        <v>5485746.949999949</v>
      </c>
      <c r="C92" s="115">
        <f t="shared" si="22"/>
        <v>2024</v>
      </c>
      <c r="D92" s="142">
        <f>EOMONTH(Założenia_kredyty!$D$5,A92)</f>
        <v>45535</v>
      </c>
      <c r="E92" s="141">
        <f>HLOOKUP(C92,Założenia!$I$5:$U$11,6,0)+Założenia_kredyty!$D$11</f>
        <v>6.7000000000000004E-2</v>
      </c>
      <c r="F92" s="143">
        <f t="shared" si="28"/>
        <v>31216</v>
      </c>
      <c r="G92" s="118">
        <f>IF(D92&gt;=Założenia_kredyty!$D$6,IF(B92&gt;=Założenia_kredyty!$D$7,Założenia_kredyty!$D$7,B92),0)</f>
        <v>133798.71</v>
      </c>
      <c r="H92" s="118">
        <f>IF(Założenia_kredyty!$D$9="TAK",IF(D92=Założenia_kredyty!$D$6,SUM(Obliczenia_kredyty!F$5:F92),IF(D92&lt;Założenia_kredyty!$D$6,0,F92)),F92)</f>
        <v>31216</v>
      </c>
      <c r="I92" s="118">
        <f t="shared" si="29"/>
        <v>165014.71</v>
      </c>
      <c r="J92" s="118">
        <f t="shared" si="23"/>
        <v>5351948.239999949</v>
      </c>
      <c r="L92"/>
      <c r="M92"/>
      <c r="N92"/>
      <c r="O92"/>
      <c r="P92"/>
      <c r="Q92"/>
      <c r="R92"/>
      <c r="S92"/>
      <c r="T92"/>
      <c r="U92"/>
      <c r="W92" s="139">
        <v>87</v>
      </c>
      <c r="X92" s="118">
        <f t="shared" si="30"/>
        <v>5485746.949999949</v>
      </c>
      <c r="Y92" s="115">
        <f t="shared" si="32"/>
        <v>2024</v>
      </c>
      <c r="Z92" s="142">
        <f>EOMONTH(Założenia_kredyty!$D$5,W92)</f>
        <v>45535</v>
      </c>
      <c r="AA92" s="141">
        <f>HLOOKUP(Y92,Założenia!$I$5:$U$11,7,0)</f>
        <v>0</v>
      </c>
      <c r="AB92" s="143">
        <f t="shared" si="31"/>
        <v>31216</v>
      </c>
      <c r="AC92" s="118">
        <f t="shared" si="24"/>
        <v>133798.71</v>
      </c>
      <c r="AD92" s="118">
        <f t="shared" si="25"/>
        <v>31216</v>
      </c>
      <c r="AE92" s="118">
        <f t="shared" si="26"/>
        <v>165014.71</v>
      </c>
      <c r="AF92" s="118">
        <f t="shared" si="27"/>
        <v>5351948.239999949</v>
      </c>
    </row>
    <row r="93" spans="1:32">
      <c r="A93" s="139">
        <v>88</v>
      </c>
      <c r="B93" s="118">
        <f t="shared" si="33"/>
        <v>5351948.239999949</v>
      </c>
      <c r="C93" s="115">
        <f t="shared" si="22"/>
        <v>2024</v>
      </c>
      <c r="D93" s="142">
        <f>EOMONTH(Założenia_kredyty!$D$5,A93)</f>
        <v>45565</v>
      </c>
      <c r="E93" s="141">
        <f>HLOOKUP(C93,Założenia!$I$5:$U$11,6,0)+Założenia_kredyty!$D$11</f>
        <v>6.7000000000000004E-2</v>
      </c>
      <c r="F93" s="143">
        <f t="shared" si="28"/>
        <v>29472</v>
      </c>
      <c r="G93" s="118">
        <f>IF(D93&gt;=Założenia_kredyty!$D$6,IF(B93&gt;=Założenia_kredyty!$D$7,Założenia_kredyty!$D$7,B93),0)</f>
        <v>133798.71</v>
      </c>
      <c r="H93" s="118">
        <f>IF(Założenia_kredyty!$D$9="TAK",IF(D93=Założenia_kredyty!$D$6,SUM(Obliczenia_kredyty!F$5:F93),IF(D93&lt;Założenia_kredyty!$D$6,0,F93)),F93)</f>
        <v>29472</v>
      </c>
      <c r="I93" s="118">
        <f t="shared" si="29"/>
        <v>163270.71</v>
      </c>
      <c r="J93" s="118">
        <f t="shared" si="23"/>
        <v>5218149.529999949</v>
      </c>
      <c r="L93"/>
      <c r="M93"/>
      <c r="N93"/>
      <c r="O93"/>
      <c r="P93"/>
      <c r="Q93"/>
      <c r="R93"/>
      <c r="S93"/>
      <c r="T93"/>
      <c r="U93"/>
      <c r="W93" s="139">
        <v>88</v>
      </c>
      <c r="X93" s="118">
        <f t="shared" si="30"/>
        <v>5351948.239999949</v>
      </c>
      <c r="Y93" s="115">
        <f t="shared" si="32"/>
        <v>2024</v>
      </c>
      <c r="Z93" s="142">
        <f>EOMONTH(Założenia_kredyty!$D$5,W93)</f>
        <v>45565</v>
      </c>
      <c r="AA93" s="141">
        <f>HLOOKUP(Y93,Założenia!$I$5:$U$11,7,0)</f>
        <v>0</v>
      </c>
      <c r="AB93" s="143">
        <f t="shared" si="31"/>
        <v>29472</v>
      </c>
      <c r="AC93" s="118">
        <f t="shared" si="24"/>
        <v>133798.71</v>
      </c>
      <c r="AD93" s="118">
        <f t="shared" si="25"/>
        <v>29472</v>
      </c>
      <c r="AE93" s="118">
        <f t="shared" si="26"/>
        <v>163270.71</v>
      </c>
      <c r="AF93" s="118">
        <f t="shared" si="27"/>
        <v>5218149.529999949</v>
      </c>
    </row>
    <row r="94" spans="1:32">
      <c r="A94" s="139">
        <v>89</v>
      </c>
      <c r="B94" s="118">
        <f t="shared" si="33"/>
        <v>5218149.529999949</v>
      </c>
      <c r="C94" s="115">
        <f t="shared" si="22"/>
        <v>2024</v>
      </c>
      <c r="D94" s="142">
        <f>EOMONTH(Założenia_kredyty!$D$5,A94)</f>
        <v>45596</v>
      </c>
      <c r="E94" s="141">
        <f>HLOOKUP(C94,Założenia!$I$5:$U$11,6,0)+Założenia_kredyty!$D$11</f>
        <v>6.7000000000000004E-2</v>
      </c>
      <c r="F94" s="143">
        <f t="shared" si="28"/>
        <v>29693</v>
      </c>
      <c r="G94" s="118">
        <f>IF(D94&gt;=Założenia_kredyty!$D$6,IF(B94&gt;=Założenia_kredyty!$D$7,Założenia_kredyty!$D$7,B94),0)</f>
        <v>133798.71</v>
      </c>
      <c r="H94" s="118">
        <f>IF(Założenia_kredyty!$D$9="TAK",IF(D94=Założenia_kredyty!$D$6,SUM(Obliczenia_kredyty!F$5:F94),IF(D94&lt;Założenia_kredyty!$D$6,0,F94)),F94)</f>
        <v>29693</v>
      </c>
      <c r="I94" s="118">
        <f t="shared" si="29"/>
        <v>163491.71</v>
      </c>
      <c r="J94" s="118">
        <f t="shared" si="23"/>
        <v>5084350.8199999491</v>
      </c>
      <c r="L94"/>
      <c r="M94"/>
      <c r="N94"/>
      <c r="O94"/>
      <c r="P94"/>
      <c r="Q94"/>
      <c r="R94"/>
      <c r="S94"/>
      <c r="T94"/>
      <c r="U94"/>
      <c r="W94" s="139">
        <v>89</v>
      </c>
      <c r="X94" s="118">
        <f t="shared" si="30"/>
        <v>5218149.529999949</v>
      </c>
      <c r="Y94" s="115">
        <f t="shared" si="32"/>
        <v>2024</v>
      </c>
      <c r="Z94" s="142">
        <f>EOMONTH(Założenia_kredyty!$D$5,W94)</f>
        <v>45596</v>
      </c>
      <c r="AA94" s="141">
        <f>HLOOKUP(Y94,Założenia!$I$5:$U$11,7,0)</f>
        <v>0</v>
      </c>
      <c r="AB94" s="143">
        <f t="shared" si="31"/>
        <v>29693</v>
      </c>
      <c r="AC94" s="118">
        <f t="shared" si="24"/>
        <v>133798.71</v>
      </c>
      <c r="AD94" s="118">
        <f t="shared" si="25"/>
        <v>29693</v>
      </c>
      <c r="AE94" s="118">
        <f t="shared" si="26"/>
        <v>163491.71</v>
      </c>
      <c r="AF94" s="118">
        <f t="shared" si="27"/>
        <v>5084350.8199999491</v>
      </c>
    </row>
    <row r="95" spans="1:32">
      <c r="A95" s="139">
        <v>90</v>
      </c>
      <c r="B95" s="118">
        <f t="shared" si="33"/>
        <v>5084350.8199999491</v>
      </c>
      <c r="C95" s="115">
        <f t="shared" si="22"/>
        <v>2024</v>
      </c>
      <c r="D95" s="142">
        <f>EOMONTH(Założenia_kredyty!$D$5,A95)</f>
        <v>45626</v>
      </c>
      <c r="E95" s="141">
        <f>HLOOKUP(C95,Założenia!$I$5:$U$11,6,0)+Założenia_kredyty!$D$11</f>
        <v>6.7000000000000004E-2</v>
      </c>
      <c r="F95" s="143">
        <f t="shared" si="28"/>
        <v>27999</v>
      </c>
      <c r="G95" s="118">
        <f>IF(D95&gt;=Założenia_kredyty!$D$6,IF(B95&gt;=Założenia_kredyty!$D$7,Założenia_kredyty!$D$7,B95),0)</f>
        <v>133798.71</v>
      </c>
      <c r="H95" s="118">
        <f>IF(Założenia_kredyty!$D$9="TAK",IF(D95=Założenia_kredyty!$D$6,SUM(Obliczenia_kredyty!F$5:F95),IF(D95&lt;Założenia_kredyty!$D$6,0,F95)),F95)</f>
        <v>27999</v>
      </c>
      <c r="I95" s="118">
        <f t="shared" si="29"/>
        <v>161797.71</v>
      </c>
      <c r="J95" s="118">
        <f t="shared" si="23"/>
        <v>4950552.1099999491</v>
      </c>
      <c r="L95"/>
      <c r="M95"/>
      <c r="N95"/>
      <c r="O95"/>
      <c r="P95"/>
      <c r="Q95"/>
      <c r="R95"/>
      <c r="S95"/>
      <c r="T95"/>
      <c r="U95"/>
      <c r="W95" s="139">
        <v>90</v>
      </c>
      <c r="X95" s="118">
        <f t="shared" si="30"/>
        <v>5084350.8199999491</v>
      </c>
      <c r="Y95" s="115">
        <f t="shared" si="32"/>
        <v>2024</v>
      </c>
      <c r="Z95" s="142">
        <f>EOMONTH(Założenia_kredyty!$D$5,W95)</f>
        <v>45626</v>
      </c>
      <c r="AA95" s="141">
        <f>HLOOKUP(Y95,Założenia!$I$5:$U$11,7,0)</f>
        <v>0</v>
      </c>
      <c r="AB95" s="143">
        <f t="shared" si="31"/>
        <v>27999</v>
      </c>
      <c r="AC95" s="118">
        <f t="shared" si="24"/>
        <v>133798.71</v>
      </c>
      <c r="AD95" s="118">
        <f t="shared" si="25"/>
        <v>27999</v>
      </c>
      <c r="AE95" s="118">
        <f t="shared" si="26"/>
        <v>161797.71</v>
      </c>
      <c r="AF95" s="118">
        <f t="shared" si="27"/>
        <v>4950552.1099999491</v>
      </c>
    </row>
    <row r="96" spans="1:32">
      <c r="A96" s="139">
        <v>91</v>
      </c>
      <c r="B96" s="118">
        <f t="shared" si="33"/>
        <v>4950552.1099999491</v>
      </c>
      <c r="C96" s="115">
        <f t="shared" si="22"/>
        <v>2024</v>
      </c>
      <c r="D96" s="142">
        <f>EOMONTH(Założenia_kredyty!$D$5,A96)</f>
        <v>45657</v>
      </c>
      <c r="E96" s="141">
        <f>HLOOKUP(C96,Założenia!$I$5:$U$11,6,0)+Założenia_kredyty!$D$11</f>
        <v>6.7000000000000004E-2</v>
      </c>
      <c r="F96" s="143">
        <f t="shared" si="28"/>
        <v>28171</v>
      </c>
      <c r="G96" s="118">
        <f>IF(D96&gt;=Założenia_kredyty!$D$6,IF(B96&gt;=Założenia_kredyty!$D$7,Założenia_kredyty!$D$7,B96),0)</f>
        <v>133798.71</v>
      </c>
      <c r="H96" s="118">
        <f>IF(Założenia_kredyty!$D$9="TAK",IF(D96=Założenia_kredyty!$D$6,SUM(Obliczenia_kredyty!F$5:F96),IF(D96&lt;Założenia_kredyty!$D$6,0,F96)),F96)</f>
        <v>28171</v>
      </c>
      <c r="I96" s="118">
        <f t="shared" si="29"/>
        <v>161969.71</v>
      </c>
      <c r="J96" s="118">
        <f t="shared" si="23"/>
        <v>4816753.3999999491</v>
      </c>
      <c r="L96"/>
      <c r="M96"/>
      <c r="N96"/>
      <c r="O96"/>
      <c r="P96"/>
      <c r="Q96"/>
      <c r="R96"/>
      <c r="S96"/>
      <c r="T96"/>
      <c r="U96"/>
      <c r="W96" s="139">
        <v>91</v>
      </c>
      <c r="X96" s="118">
        <f t="shared" si="30"/>
        <v>4950552.1099999491</v>
      </c>
      <c r="Y96" s="115">
        <f t="shared" si="32"/>
        <v>2024</v>
      </c>
      <c r="Z96" s="142">
        <f>EOMONTH(Założenia_kredyty!$D$5,W96)</f>
        <v>45657</v>
      </c>
      <c r="AA96" s="141">
        <f>HLOOKUP(Y96,Założenia!$I$5:$U$11,7,0)</f>
        <v>0</v>
      </c>
      <c r="AB96" s="143">
        <f t="shared" si="31"/>
        <v>28171</v>
      </c>
      <c r="AC96" s="118">
        <f t="shared" si="24"/>
        <v>133798.71</v>
      </c>
      <c r="AD96" s="118">
        <f t="shared" si="25"/>
        <v>28171</v>
      </c>
      <c r="AE96" s="118">
        <f t="shared" si="26"/>
        <v>161969.71</v>
      </c>
      <c r="AF96" s="118">
        <f t="shared" si="27"/>
        <v>4816753.3999999491</v>
      </c>
    </row>
    <row r="97" spans="1:32">
      <c r="A97" s="139">
        <v>92</v>
      </c>
      <c r="B97" s="118">
        <f t="shared" si="33"/>
        <v>4816753.3999999491</v>
      </c>
      <c r="C97" s="115">
        <f t="shared" si="22"/>
        <v>2025</v>
      </c>
      <c r="D97" s="142">
        <f>EOMONTH(Założenia_kredyty!$D$5,A97)</f>
        <v>45688</v>
      </c>
      <c r="E97" s="141">
        <f>HLOOKUP(C97,Założenia!$I$5:$U$11,6,0)+Założenia_kredyty!$D$11</f>
        <v>6.7000000000000004E-2</v>
      </c>
      <c r="F97" s="143">
        <f t="shared" si="28"/>
        <v>27409</v>
      </c>
      <c r="G97" s="118">
        <f>IF(D97&gt;=Założenia_kredyty!$D$6,IF(B97&gt;=Założenia_kredyty!$D$7,Założenia_kredyty!$D$7,B97),0)</f>
        <v>133798.71</v>
      </c>
      <c r="H97" s="118">
        <f>IF(Założenia_kredyty!$D$9="TAK",IF(D97=Założenia_kredyty!$D$6,SUM(Obliczenia_kredyty!F$5:F97),IF(D97&lt;Założenia_kredyty!$D$6,0,F97)),F97)</f>
        <v>27409</v>
      </c>
      <c r="I97" s="118">
        <f t="shared" si="29"/>
        <v>161207.71</v>
      </c>
      <c r="J97" s="118">
        <f t="shared" si="23"/>
        <v>4682954.6899999492</v>
      </c>
      <c r="L97"/>
      <c r="M97"/>
      <c r="N97"/>
      <c r="O97"/>
      <c r="P97"/>
      <c r="Q97"/>
      <c r="R97"/>
      <c r="S97"/>
      <c r="T97"/>
      <c r="U97"/>
      <c r="W97" s="139">
        <v>92</v>
      </c>
      <c r="X97" s="118">
        <f t="shared" si="30"/>
        <v>4816753.3999999491</v>
      </c>
      <c r="Y97" s="115">
        <f t="shared" si="32"/>
        <v>2025</v>
      </c>
      <c r="Z97" s="142">
        <f>EOMONTH(Założenia_kredyty!$D$5,W97)</f>
        <v>45688</v>
      </c>
      <c r="AA97" s="141">
        <f>HLOOKUP(Y97,Założenia!$I$5:$U$11,7,0)</f>
        <v>0</v>
      </c>
      <c r="AB97" s="143">
        <f t="shared" si="31"/>
        <v>27409</v>
      </c>
      <c r="AC97" s="118">
        <f t="shared" si="24"/>
        <v>133798.71</v>
      </c>
      <c r="AD97" s="118">
        <f t="shared" si="25"/>
        <v>27409</v>
      </c>
      <c r="AE97" s="118">
        <f t="shared" si="26"/>
        <v>161207.71</v>
      </c>
      <c r="AF97" s="118">
        <f t="shared" si="27"/>
        <v>4682954.6899999492</v>
      </c>
    </row>
    <row r="98" spans="1:32">
      <c r="A98" s="139">
        <v>93</v>
      </c>
      <c r="B98" s="118">
        <f t="shared" si="33"/>
        <v>4682954.6899999492</v>
      </c>
      <c r="C98" s="115">
        <f t="shared" si="22"/>
        <v>2025</v>
      </c>
      <c r="D98" s="142">
        <f>EOMONTH(Założenia_kredyty!$D$5,A98)</f>
        <v>45716</v>
      </c>
      <c r="E98" s="141">
        <f>HLOOKUP(C98,Założenia!$I$5:$U$11,6,0)+Założenia_kredyty!$D$11</f>
        <v>6.7000000000000004E-2</v>
      </c>
      <c r="F98" s="143">
        <f t="shared" si="28"/>
        <v>24069</v>
      </c>
      <c r="G98" s="118">
        <f>IF(D98&gt;=Założenia_kredyty!$D$6,IF(B98&gt;=Założenia_kredyty!$D$7,Założenia_kredyty!$D$7,B98),0)</f>
        <v>133798.71</v>
      </c>
      <c r="H98" s="118">
        <f>IF(Założenia_kredyty!$D$9="TAK",IF(D98=Założenia_kredyty!$D$6,SUM(Obliczenia_kredyty!F$5:F98),IF(D98&lt;Założenia_kredyty!$D$6,0,F98)),F98)</f>
        <v>24069</v>
      </c>
      <c r="I98" s="118">
        <f t="shared" si="29"/>
        <v>157867.71</v>
      </c>
      <c r="J98" s="118">
        <f t="shared" si="23"/>
        <v>4549155.9799999492</v>
      </c>
      <c r="L98"/>
      <c r="M98"/>
      <c r="N98"/>
      <c r="O98"/>
      <c r="P98"/>
      <c r="Q98"/>
      <c r="R98"/>
      <c r="S98"/>
      <c r="T98"/>
      <c r="U98"/>
      <c r="W98" s="139">
        <v>93</v>
      </c>
      <c r="X98" s="118">
        <f t="shared" si="30"/>
        <v>4682954.6899999492</v>
      </c>
      <c r="Y98" s="115">
        <f t="shared" si="32"/>
        <v>2025</v>
      </c>
      <c r="Z98" s="142">
        <f>EOMONTH(Założenia_kredyty!$D$5,W98)</f>
        <v>45716</v>
      </c>
      <c r="AA98" s="141">
        <f>HLOOKUP(Y98,Założenia!$I$5:$U$11,7,0)</f>
        <v>0</v>
      </c>
      <c r="AB98" s="143">
        <f t="shared" si="31"/>
        <v>24069</v>
      </c>
      <c r="AC98" s="118">
        <f t="shared" si="24"/>
        <v>133798.71</v>
      </c>
      <c r="AD98" s="118">
        <f t="shared" si="25"/>
        <v>24069</v>
      </c>
      <c r="AE98" s="118">
        <f t="shared" si="26"/>
        <v>157867.71</v>
      </c>
      <c r="AF98" s="118">
        <f t="shared" si="27"/>
        <v>4549155.9799999492</v>
      </c>
    </row>
    <row r="99" spans="1:32">
      <c r="A99" s="139">
        <v>94</v>
      </c>
      <c r="B99" s="118">
        <f t="shared" si="33"/>
        <v>4549155.9799999492</v>
      </c>
      <c r="C99" s="115">
        <f t="shared" si="22"/>
        <v>2025</v>
      </c>
      <c r="D99" s="142">
        <f>EOMONTH(Założenia_kredyty!$D$5,A99)</f>
        <v>45747</v>
      </c>
      <c r="E99" s="141">
        <f>HLOOKUP(C99,Założenia!$I$5:$U$11,6,0)+Założenia_kredyty!$D$11</f>
        <v>6.7000000000000004E-2</v>
      </c>
      <c r="F99" s="143">
        <f t="shared" si="28"/>
        <v>25887</v>
      </c>
      <c r="G99" s="118">
        <f>IF(D99&gt;=Założenia_kredyty!$D$6,IF(B99&gt;=Założenia_kredyty!$D$7,Założenia_kredyty!$D$7,B99),0)</f>
        <v>133798.71</v>
      </c>
      <c r="H99" s="118">
        <f>IF(Założenia_kredyty!$D$9="TAK",IF(D99=Założenia_kredyty!$D$6,SUM(Obliczenia_kredyty!F$5:F99),IF(D99&lt;Założenia_kredyty!$D$6,0,F99)),F99)</f>
        <v>25887</v>
      </c>
      <c r="I99" s="118">
        <f t="shared" si="29"/>
        <v>159685.71</v>
      </c>
      <c r="J99" s="118">
        <f t="shared" si="23"/>
        <v>4415357.2699999493</v>
      </c>
      <c r="L99"/>
      <c r="M99"/>
      <c r="N99"/>
      <c r="O99"/>
      <c r="P99"/>
      <c r="Q99"/>
      <c r="R99"/>
      <c r="S99"/>
      <c r="T99"/>
      <c r="U99"/>
      <c r="W99" s="139">
        <v>94</v>
      </c>
      <c r="X99" s="118">
        <f t="shared" si="30"/>
        <v>4549155.9799999492</v>
      </c>
      <c r="Y99" s="115">
        <f t="shared" si="32"/>
        <v>2025</v>
      </c>
      <c r="Z99" s="142">
        <f>EOMONTH(Założenia_kredyty!$D$5,W99)</f>
        <v>45747</v>
      </c>
      <c r="AA99" s="141">
        <f>HLOOKUP(Y99,Założenia!$I$5:$U$11,7,0)</f>
        <v>0</v>
      </c>
      <c r="AB99" s="143">
        <f t="shared" si="31"/>
        <v>25887</v>
      </c>
      <c r="AC99" s="118">
        <f t="shared" si="24"/>
        <v>133798.71</v>
      </c>
      <c r="AD99" s="118">
        <f t="shared" si="25"/>
        <v>25887</v>
      </c>
      <c r="AE99" s="118">
        <f t="shared" si="26"/>
        <v>159685.71</v>
      </c>
      <c r="AF99" s="118">
        <f t="shared" si="27"/>
        <v>4415357.2699999493</v>
      </c>
    </row>
    <row r="100" spans="1:32">
      <c r="A100" s="139">
        <v>95</v>
      </c>
      <c r="B100" s="118">
        <f t="shared" si="33"/>
        <v>4415357.2699999493</v>
      </c>
      <c r="C100" s="115">
        <f t="shared" si="22"/>
        <v>2025</v>
      </c>
      <c r="D100" s="142">
        <f>EOMONTH(Założenia_kredyty!$D$5,A100)</f>
        <v>45777</v>
      </c>
      <c r="E100" s="141">
        <f>HLOOKUP(C100,Założenia!$I$5:$U$11,6,0)+Założenia_kredyty!$D$11</f>
        <v>6.7000000000000004E-2</v>
      </c>
      <c r="F100" s="143">
        <f t="shared" si="28"/>
        <v>24315</v>
      </c>
      <c r="G100" s="118">
        <f>IF(D100&gt;=Założenia_kredyty!$D$6,IF(B100&gt;=Założenia_kredyty!$D$7,Założenia_kredyty!$D$7,B100),0)</f>
        <v>133798.71</v>
      </c>
      <c r="H100" s="118">
        <f>IF(Założenia_kredyty!$D$9="TAK",IF(D100=Założenia_kredyty!$D$6,SUM(Obliczenia_kredyty!F$5:F100),IF(D100&lt;Założenia_kredyty!$D$6,0,F100)),F100)</f>
        <v>24315</v>
      </c>
      <c r="I100" s="118">
        <f t="shared" si="29"/>
        <v>158113.71</v>
      </c>
      <c r="J100" s="118">
        <f t="shared" si="23"/>
        <v>4281558.5599999493</v>
      </c>
      <c r="L100"/>
      <c r="M100"/>
      <c r="N100"/>
      <c r="O100"/>
      <c r="P100"/>
      <c r="Q100"/>
      <c r="R100"/>
      <c r="S100"/>
      <c r="T100"/>
      <c r="U100"/>
      <c r="W100" s="139">
        <v>95</v>
      </c>
      <c r="X100" s="118">
        <f t="shared" si="30"/>
        <v>4415357.2699999493</v>
      </c>
      <c r="Y100" s="115">
        <f t="shared" si="32"/>
        <v>2025</v>
      </c>
      <c r="Z100" s="142">
        <f>EOMONTH(Założenia_kredyty!$D$5,W100)</f>
        <v>45777</v>
      </c>
      <c r="AA100" s="141">
        <f>HLOOKUP(Y100,Założenia!$I$5:$U$11,7,0)</f>
        <v>0</v>
      </c>
      <c r="AB100" s="143">
        <f t="shared" si="31"/>
        <v>24315</v>
      </c>
      <c r="AC100" s="118">
        <f t="shared" si="24"/>
        <v>133798.71</v>
      </c>
      <c r="AD100" s="118">
        <f t="shared" si="25"/>
        <v>24315</v>
      </c>
      <c r="AE100" s="118">
        <f t="shared" si="26"/>
        <v>158113.71</v>
      </c>
      <c r="AF100" s="118">
        <f t="shared" si="27"/>
        <v>4281558.5599999493</v>
      </c>
    </row>
    <row r="101" spans="1:32">
      <c r="A101" s="139">
        <v>96</v>
      </c>
      <c r="B101" s="118">
        <f t="shared" si="33"/>
        <v>4281558.5599999493</v>
      </c>
      <c r="C101" s="115">
        <f t="shared" ref="C101:C132" si="34">YEAR(D101)</f>
        <v>2025</v>
      </c>
      <c r="D101" s="142">
        <f>EOMONTH(Założenia_kredyty!$D$5,A101)</f>
        <v>45808</v>
      </c>
      <c r="E101" s="141">
        <f>HLOOKUP(C101,Założenia!$I$5:$U$11,6,0)+Założenia_kredyty!$D$11</f>
        <v>6.7000000000000004E-2</v>
      </c>
      <c r="F101" s="143">
        <f t="shared" si="28"/>
        <v>24364</v>
      </c>
      <c r="G101" s="118">
        <f>IF(D101&gt;=Założenia_kredyty!$D$6,IF(B101&gt;=Założenia_kredyty!$D$7,Założenia_kredyty!$D$7,B101),0)</f>
        <v>133798.71</v>
      </c>
      <c r="H101" s="118">
        <f>IF(Założenia_kredyty!$D$9="TAK",IF(D101=Założenia_kredyty!$D$6,SUM(Obliczenia_kredyty!F$5:F101),IF(D101&lt;Założenia_kredyty!$D$6,0,F101)),F101)</f>
        <v>24364</v>
      </c>
      <c r="I101" s="118">
        <f t="shared" si="29"/>
        <v>158162.71</v>
      </c>
      <c r="J101" s="118">
        <f t="shared" ref="J101:J132" si="35">B101-G101</f>
        <v>4147759.8499999493</v>
      </c>
      <c r="L101"/>
      <c r="M101"/>
      <c r="N101"/>
      <c r="O101"/>
      <c r="P101"/>
      <c r="Q101"/>
      <c r="R101"/>
      <c r="S101"/>
      <c r="T101"/>
      <c r="U101"/>
      <c r="W101" s="139">
        <v>96</v>
      </c>
      <c r="X101" s="118">
        <f t="shared" si="30"/>
        <v>4281558.5599999493</v>
      </c>
      <c r="Y101" s="115">
        <f t="shared" si="32"/>
        <v>2025</v>
      </c>
      <c r="Z101" s="142">
        <f>EOMONTH(Założenia_kredyty!$D$5,W101)</f>
        <v>45808</v>
      </c>
      <c r="AA101" s="141">
        <f>HLOOKUP(Y101,Założenia!$I$5:$U$11,7,0)</f>
        <v>0</v>
      </c>
      <c r="AB101" s="143">
        <f t="shared" si="31"/>
        <v>24364</v>
      </c>
      <c r="AC101" s="118">
        <f t="shared" si="24"/>
        <v>133798.71</v>
      </c>
      <c r="AD101" s="118">
        <f t="shared" si="25"/>
        <v>24364</v>
      </c>
      <c r="AE101" s="118">
        <f t="shared" si="26"/>
        <v>158162.71</v>
      </c>
      <c r="AF101" s="118">
        <f t="shared" si="27"/>
        <v>4147759.8499999493</v>
      </c>
    </row>
    <row r="102" spans="1:32">
      <c r="A102" s="139">
        <v>97</v>
      </c>
      <c r="B102" s="118">
        <f t="shared" si="33"/>
        <v>4147759.8499999493</v>
      </c>
      <c r="C102" s="115">
        <f t="shared" si="34"/>
        <v>2025</v>
      </c>
      <c r="D102" s="142">
        <f>EOMONTH(Założenia_kredyty!$D$5,A102)</f>
        <v>45838</v>
      </c>
      <c r="E102" s="141">
        <f>HLOOKUP(C102,Założenia!$I$5:$U$11,6,0)+Założenia_kredyty!$D$11</f>
        <v>6.7000000000000004E-2</v>
      </c>
      <c r="F102" s="143">
        <f t="shared" ref="F102:F132" si="36">ROUND(J101*E102*(D102-D101)/365,0)</f>
        <v>22841</v>
      </c>
      <c r="G102" s="118">
        <f>IF(D102&gt;=Założenia_kredyty!$D$6,IF(B102&gt;=Założenia_kredyty!$D$7,Założenia_kredyty!$D$7,B102),0)</f>
        <v>133798.71</v>
      </c>
      <c r="H102" s="118">
        <f>IF(Założenia_kredyty!$D$9="TAK",IF(D102=Założenia_kredyty!$D$6,SUM(Obliczenia_kredyty!F$5:F102),IF(D102&lt;Założenia_kredyty!$D$6,0,F102)),F102)</f>
        <v>22841</v>
      </c>
      <c r="I102" s="118">
        <f t="shared" ref="I102:I132" si="37">G102+H102</f>
        <v>156639.71</v>
      </c>
      <c r="J102" s="118">
        <f t="shared" si="35"/>
        <v>4013961.1399999494</v>
      </c>
      <c r="L102"/>
      <c r="M102"/>
      <c r="N102"/>
      <c r="O102"/>
      <c r="P102"/>
      <c r="Q102"/>
      <c r="R102"/>
      <c r="S102"/>
      <c r="T102"/>
      <c r="U102"/>
      <c r="W102" s="139">
        <v>97</v>
      </c>
      <c r="X102" s="118">
        <f t="shared" si="30"/>
        <v>4147759.8499999493</v>
      </c>
      <c r="Y102" s="115">
        <f t="shared" si="32"/>
        <v>2025</v>
      </c>
      <c r="Z102" s="142">
        <f>EOMONTH(Założenia_kredyty!$D$5,W102)</f>
        <v>45838</v>
      </c>
      <c r="AA102" s="141">
        <f>HLOOKUP(Y102,Założenia!$I$5:$U$11,7,0)</f>
        <v>0</v>
      </c>
      <c r="AB102" s="143">
        <f t="shared" si="31"/>
        <v>22841</v>
      </c>
      <c r="AC102" s="118">
        <f t="shared" si="24"/>
        <v>133798.71</v>
      </c>
      <c r="AD102" s="118">
        <f t="shared" si="25"/>
        <v>22841</v>
      </c>
      <c r="AE102" s="118">
        <f t="shared" si="26"/>
        <v>156639.71</v>
      </c>
      <c r="AF102" s="118">
        <f t="shared" si="27"/>
        <v>4013961.1399999494</v>
      </c>
    </row>
    <row r="103" spans="1:32">
      <c r="A103" s="139">
        <v>98</v>
      </c>
      <c r="B103" s="118">
        <f t="shared" si="33"/>
        <v>4013961.1399999494</v>
      </c>
      <c r="C103" s="115">
        <f t="shared" si="34"/>
        <v>2025</v>
      </c>
      <c r="D103" s="142">
        <f>EOMONTH(Założenia_kredyty!$D$5,A103)</f>
        <v>45869</v>
      </c>
      <c r="E103" s="141">
        <f>HLOOKUP(C103,Założenia!$I$5:$U$11,6,0)+Założenia_kredyty!$D$11</f>
        <v>6.7000000000000004E-2</v>
      </c>
      <c r="F103" s="143">
        <f t="shared" si="36"/>
        <v>22841</v>
      </c>
      <c r="G103" s="118">
        <f>IF(D103&gt;=Założenia_kredyty!$D$6,IF(B103&gt;=Założenia_kredyty!$D$7,Założenia_kredyty!$D$7,B103),0)</f>
        <v>133798.71</v>
      </c>
      <c r="H103" s="118">
        <f>IF(Założenia_kredyty!$D$9="TAK",IF(D103=Założenia_kredyty!$D$6,SUM(Obliczenia_kredyty!F$5:F103),IF(D103&lt;Założenia_kredyty!$D$6,0,F103)),F103)</f>
        <v>22841</v>
      </c>
      <c r="I103" s="118">
        <f t="shared" si="37"/>
        <v>156639.71</v>
      </c>
      <c r="J103" s="118">
        <f t="shared" si="35"/>
        <v>3880162.4299999494</v>
      </c>
      <c r="L103"/>
      <c r="M103"/>
      <c r="N103"/>
      <c r="O103"/>
      <c r="P103"/>
      <c r="Q103"/>
      <c r="R103"/>
      <c r="S103"/>
      <c r="T103"/>
      <c r="U103"/>
      <c r="W103" s="139">
        <v>98</v>
      </c>
      <c r="X103" s="118">
        <f t="shared" si="30"/>
        <v>4013961.1399999494</v>
      </c>
      <c r="Y103" s="115">
        <f t="shared" si="32"/>
        <v>2025</v>
      </c>
      <c r="Z103" s="142">
        <f>EOMONTH(Założenia_kredyty!$D$5,W103)</f>
        <v>45869</v>
      </c>
      <c r="AA103" s="141">
        <f>HLOOKUP(Y103,Założenia!$I$5:$U$11,7,0)</f>
        <v>0</v>
      </c>
      <c r="AB103" s="143">
        <f t="shared" si="31"/>
        <v>22841</v>
      </c>
      <c r="AC103" s="118">
        <f t="shared" si="24"/>
        <v>133798.71</v>
      </c>
      <c r="AD103" s="118">
        <f t="shared" si="25"/>
        <v>22841</v>
      </c>
      <c r="AE103" s="118">
        <f t="shared" si="26"/>
        <v>156639.71</v>
      </c>
      <c r="AF103" s="118">
        <f t="shared" si="27"/>
        <v>3880162.4299999494</v>
      </c>
    </row>
    <row r="104" spans="1:32">
      <c r="A104" s="139">
        <v>99</v>
      </c>
      <c r="B104" s="118">
        <f t="shared" si="33"/>
        <v>3880162.4299999494</v>
      </c>
      <c r="C104" s="115">
        <f t="shared" si="34"/>
        <v>2025</v>
      </c>
      <c r="D104" s="142">
        <f>EOMONTH(Założenia_kredyty!$D$5,A104)</f>
        <v>45900</v>
      </c>
      <c r="E104" s="141">
        <f>HLOOKUP(C104,Założenia!$I$5:$U$11,6,0)+Założenia_kredyty!$D$11</f>
        <v>6.7000000000000004E-2</v>
      </c>
      <c r="F104" s="143">
        <f t="shared" si="36"/>
        <v>22080</v>
      </c>
      <c r="G104" s="118">
        <f>IF(D104&gt;=Założenia_kredyty!$D$6,IF(B104&gt;=Założenia_kredyty!$D$7,Założenia_kredyty!$D$7,B104),0)</f>
        <v>133798.71</v>
      </c>
      <c r="H104" s="118">
        <f>IF(Założenia_kredyty!$D$9="TAK",IF(D104=Założenia_kredyty!$D$6,SUM(Obliczenia_kredyty!F$5:F104),IF(D104&lt;Założenia_kredyty!$D$6,0,F104)),F104)</f>
        <v>22080</v>
      </c>
      <c r="I104" s="118">
        <f t="shared" si="37"/>
        <v>155878.71</v>
      </c>
      <c r="J104" s="118">
        <f t="shared" si="35"/>
        <v>3746363.7199999494</v>
      </c>
      <c r="L104"/>
      <c r="M104"/>
      <c r="N104"/>
      <c r="O104"/>
      <c r="P104"/>
      <c r="Q104"/>
      <c r="R104"/>
      <c r="S104"/>
      <c r="T104"/>
      <c r="U104"/>
      <c r="W104" s="139">
        <v>99</v>
      </c>
      <c r="X104" s="118">
        <f t="shared" si="30"/>
        <v>3880162.4299999494</v>
      </c>
      <c r="Y104" s="115">
        <f t="shared" si="32"/>
        <v>2025</v>
      </c>
      <c r="Z104" s="142">
        <f>EOMONTH(Założenia_kredyty!$D$5,W104)</f>
        <v>45900</v>
      </c>
      <c r="AA104" s="141">
        <f>HLOOKUP(Y104,Założenia!$I$5:$U$11,7,0)</f>
        <v>0</v>
      </c>
      <c r="AB104" s="143">
        <f t="shared" si="31"/>
        <v>22080</v>
      </c>
      <c r="AC104" s="118">
        <f t="shared" si="24"/>
        <v>133798.71</v>
      </c>
      <c r="AD104" s="118">
        <f t="shared" si="25"/>
        <v>22080</v>
      </c>
      <c r="AE104" s="118">
        <f t="shared" si="26"/>
        <v>155878.71</v>
      </c>
      <c r="AF104" s="118">
        <f t="shared" si="27"/>
        <v>3746363.7199999494</v>
      </c>
    </row>
    <row r="105" spans="1:32">
      <c r="A105" s="139">
        <v>100</v>
      </c>
      <c r="B105" s="118">
        <f t="shared" si="33"/>
        <v>3746363.7199999494</v>
      </c>
      <c r="C105" s="115">
        <f t="shared" si="34"/>
        <v>2025</v>
      </c>
      <c r="D105" s="142">
        <f>EOMONTH(Założenia_kredyty!$D$5,A105)</f>
        <v>45930</v>
      </c>
      <c r="E105" s="141">
        <f>HLOOKUP(C105,Założenia!$I$5:$U$11,6,0)+Założenia_kredyty!$D$11</f>
        <v>6.7000000000000004E-2</v>
      </c>
      <c r="F105" s="143">
        <f t="shared" si="36"/>
        <v>20631</v>
      </c>
      <c r="G105" s="118">
        <f>IF(D105&gt;=Założenia_kredyty!$D$6,IF(B105&gt;=Założenia_kredyty!$D$7,Założenia_kredyty!$D$7,B105),0)</f>
        <v>133798.71</v>
      </c>
      <c r="H105" s="118">
        <f>IF(Założenia_kredyty!$D$9="TAK",IF(D105=Założenia_kredyty!$D$6,SUM(Obliczenia_kredyty!F$5:F105),IF(D105&lt;Założenia_kredyty!$D$6,0,F105)),F105)</f>
        <v>20631</v>
      </c>
      <c r="I105" s="118">
        <f t="shared" si="37"/>
        <v>154429.71</v>
      </c>
      <c r="J105" s="118">
        <f t="shared" si="35"/>
        <v>3612565.0099999495</v>
      </c>
      <c r="L105"/>
      <c r="M105"/>
      <c r="N105"/>
      <c r="O105"/>
      <c r="P105"/>
      <c r="Q105"/>
      <c r="R105"/>
      <c r="S105"/>
      <c r="T105"/>
      <c r="U105"/>
      <c r="W105" s="139">
        <v>100</v>
      </c>
      <c r="X105" s="118">
        <f t="shared" si="30"/>
        <v>3746363.7199999494</v>
      </c>
      <c r="Y105" s="115">
        <f t="shared" si="32"/>
        <v>2025</v>
      </c>
      <c r="Z105" s="142">
        <f>EOMONTH(Założenia_kredyty!$D$5,W105)</f>
        <v>45930</v>
      </c>
      <c r="AA105" s="141">
        <f>HLOOKUP(Y105,Założenia!$I$5:$U$11,7,0)</f>
        <v>0</v>
      </c>
      <c r="AB105" s="143">
        <f t="shared" si="31"/>
        <v>20631</v>
      </c>
      <c r="AC105" s="118">
        <f t="shared" si="24"/>
        <v>133798.71</v>
      </c>
      <c r="AD105" s="118">
        <f t="shared" si="25"/>
        <v>20631</v>
      </c>
      <c r="AE105" s="118">
        <f t="shared" si="26"/>
        <v>154429.71</v>
      </c>
      <c r="AF105" s="118">
        <f t="shared" si="27"/>
        <v>3612565.0099999495</v>
      </c>
    </row>
    <row r="106" spans="1:32">
      <c r="A106" s="139">
        <v>101</v>
      </c>
      <c r="B106" s="118">
        <f t="shared" si="33"/>
        <v>3612565.0099999495</v>
      </c>
      <c r="C106" s="115">
        <f t="shared" si="34"/>
        <v>2025</v>
      </c>
      <c r="D106" s="142">
        <f>EOMONTH(Założenia_kredyty!$D$5,A106)</f>
        <v>45961</v>
      </c>
      <c r="E106" s="141">
        <f>HLOOKUP(C106,Założenia!$I$5:$U$11,6,0)+Założenia_kredyty!$D$11</f>
        <v>6.7000000000000004E-2</v>
      </c>
      <c r="F106" s="143">
        <f t="shared" si="36"/>
        <v>20557</v>
      </c>
      <c r="G106" s="118">
        <f>IF(D106&gt;=Założenia_kredyty!$D$6,IF(B106&gt;=Założenia_kredyty!$D$7,Założenia_kredyty!$D$7,B106),0)</f>
        <v>133798.71</v>
      </c>
      <c r="H106" s="118">
        <f>IF(Założenia_kredyty!$D$9="TAK",IF(D106=Założenia_kredyty!$D$6,SUM(Obliczenia_kredyty!F$5:F106),IF(D106&lt;Założenia_kredyty!$D$6,0,F106)),F106)</f>
        <v>20557</v>
      </c>
      <c r="I106" s="118">
        <f t="shared" si="37"/>
        <v>154355.71</v>
      </c>
      <c r="J106" s="118">
        <f t="shared" si="35"/>
        <v>3478766.2999999495</v>
      </c>
      <c r="L106"/>
      <c r="M106"/>
      <c r="N106"/>
      <c r="O106"/>
      <c r="P106"/>
      <c r="Q106"/>
      <c r="R106"/>
      <c r="S106"/>
      <c r="T106"/>
      <c r="U106"/>
      <c r="W106" s="139">
        <v>101</v>
      </c>
      <c r="X106" s="118">
        <f t="shared" si="30"/>
        <v>3612565.0099999495</v>
      </c>
      <c r="Y106" s="115">
        <f t="shared" si="32"/>
        <v>2025</v>
      </c>
      <c r="Z106" s="142">
        <f>EOMONTH(Założenia_kredyty!$D$5,W106)</f>
        <v>45961</v>
      </c>
      <c r="AA106" s="141">
        <f>HLOOKUP(Y106,Założenia!$I$5:$U$11,7,0)</f>
        <v>0</v>
      </c>
      <c r="AB106" s="143">
        <f t="shared" si="31"/>
        <v>20557</v>
      </c>
      <c r="AC106" s="118">
        <f t="shared" si="24"/>
        <v>133798.71</v>
      </c>
      <c r="AD106" s="118">
        <f t="shared" si="25"/>
        <v>20557</v>
      </c>
      <c r="AE106" s="118">
        <f t="shared" si="26"/>
        <v>154355.71</v>
      </c>
      <c r="AF106" s="118">
        <f t="shared" si="27"/>
        <v>3478766.2999999495</v>
      </c>
    </row>
    <row r="107" spans="1:32">
      <c r="A107" s="139">
        <v>102</v>
      </c>
      <c r="B107" s="118">
        <f t="shared" si="33"/>
        <v>3478766.2999999495</v>
      </c>
      <c r="C107" s="115">
        <f t="shared" si="34"/>
        <v>2025</v>
      </c>
      <c r="D107" s="142">
        <f>EOMONTH(Założenia_kredyty!$D$5,A107)</f>
        <v>45991</v>
      </c>
      <c r="E107" s="141">
        <f>HLOOKUP(C107,Założenia!$I$5:$U$11,6,0)+Założenia_kredyty!$D$11</f>
        <v>6.7000000000000004E-2</v>
      </c>
      <c r="F107" s="143">
        <f t="shared" si="36"/>
        <v>19157</v>
      </c>
      <c r="G107" s="118">
        <f>IF(D107&gt;=Założenia_kredyty!$D$6,IF(B107&gt;=Założenia_kredyty!$D$7,Założenia_kredyty!$D$7,B107),0)</f>
        <v>133798.71</v>
      </c>
      <c r="H107" s="118">
        <f>IF(Założenia_kredyty!$D$9="TAK",IF(D107=Założenia_kredyty!$D$6,SUM(Obliczenia_kredyty!F$5:F107),IF(D107&lt;Założenia_kredyty!$D$6,0,F107)),F107)</f>
        <v>19157</v>
      </c>
      <c r="I107" s="118">
        <f t="shared" si="37"/>
        <v>152955.71</v>
      </c>
      <c r="J107" s="118">
        <f t="shared" si="35"/>
        <v>3344967.5899999496</v>
      </c>
      <c r="L107"/>
      <c r="M107"/>
      <c r="N107"/>
      <c r="O107"/>
      <c r="P107"/>
      <c r="Q107"/>
      <c r="R107"/>
      <c r="S107"/>
      <c r="T107"/>
      <c r="U107"/>
      <c r="W107" s="139">
        <v>102</v>
      </c>
      <c r="X107" s="118">
        <f t="shared" si="30"/>
        <v>3478766.2999999495</v>
      </c>
      <c r="Y107" s="115">
        <f t="shared" si="32"/>
        <v>2025</v>
      </c>
      <c r="Z107" s="142">
        <f>EOMONTH(Założenia_kredyty!$D$5,W107)</f>
        <v>45991</v>
      </c>
      <c r="AA107" s="141">
        <f>HLOOKUP(Y107,Założenia!$I$5:$U$11,7,0)</f>
        <v>0</v>
      </c>
      <c r="AB107" s="143">
        <f t="shared" si="31"/>
        <v>19157</v>
      </c>
      <c r="AC107" s="118">
        <f t="shared" si="24"/>
        <v>133798.71</v>
      </c>
      <c r="AD107" s="118">
        <f t="shared" si="25"/>
        <v>19157</v>
      </c>
      <c r="AE107" s="118">
        <f t="shared" si="26"/>
        <v>152955.71</v>
      </c>
      <c r="AF107" s="118">
        <f t="shared" si="27"/>
        <v>3344967.5899999496</v>
      </c>
    </row>
    <row r="108" spans="1:32">
      <c r="A108" s="139">
        <v>103</v>
      </c>
      <c r="B108" s="118">
        <f t="shared" si="33"/>
        <v>3344967.5899999496</v>
      </c>
      <c r="C108" s="115">
        <f t="shared" si="34"/>
        <v>2025</v>
      </c>
      <c r="D108" s="142">
        <f>EOMONTH(Założenia_kredyty!$D$5,A108)</f>
        <v>46022</v>
      </c>
      <c r="E108" s="141">
        <f>HLOOKUP(C108,Założenia!$I$5:$U$11,6,0)+Założenia_kredyty!$D$11</f>
        <v>6.7000000000000004E-2</v>
      </c>
      <c r="F108" s="143">
        <f t="shared" si="36"/>
        <v>19034</v>
      </c>
      <c r="G108" s="118">
        <f>IF(D108&gt;=Założenia_kredyty!$D$6,IF(B108&gt;=Założenia_kredyty!$D$7,Założenia_kredyty!$D$7,B108),0)</f>
        <v>133798.71</v>
      </c>
      <c r="H108" s="118">
        <f>IF(Założenia_kredyty!$D$9="TAK",IF(D108=Założenia_kredyty!$D$6,SUM(Obliczenia_kredyty!F$5:F108),IF(D108&lt;Założenia_kredyty!$D$6,0,F108)),F108)</f>
        <v>19034</v>
      </c>
      <c r="I108" s="118">
        <f t="shared" si="37"/>
        <v>152832.71</v>
      </c>
      <c r="J108" s="118">
        <f t="shared" si="35"/>
        <v>3211168.8799999496</v>
      </c>
      <c r="L108"/>
      <c r="M108"/>
      <c r="N108"/>
      <c r="O108"/>
      <c r="P108"/>
      <c r="Q108"/>
      <c r="R108"/>
      <c r="S108"/>
      <c r="T108"/>
      <c r="U108"/>
      <c r="W108" s="139">
        <v>103</v>
      </c>
      <c r="X108" s="118">
        <f t="shared" si="30"/>
        <v>3344967.5899999496</v>
      </c>
      <c r="Y108" s="115">
        <f t="shared" si="32"/>
        <v>2025</v>
      </c>
      <c r="Z108" s="142">
        <f>EOMONTH(Założenia_kredyty!$D$5,W108)</f>
        <v>46022</v>
      </c>
      <c r="AA108" s="141">
        <f>HLOOKUP(Y108,Założenia!$I$5:$U$11,7,0)</f>
        <v>0</v>
      </c>
      <c r="AB108" s="143">
        <f t="shared" si="31"/>
        <v>19034</v>
      </c>
      <c r="AC108" s="118">
        <f t="shared" si="24"/>
        <v>133798.71</v>
      </c>
      <c r="AD108" s="118">
        <f t="shared" si="25"/>
        <v>19034</v>
      </c>
      <c r="AE108" s="118">
        <f t="shared" si="26"/>
        <v>152832.71</v>
      </c>
      <c r="AF108" s="118">
        <f t="shared" si="27"/>
        <v>3211168.8799999496</v>
      </c>
    </row>
    <row r="109" spans="1:32">
      <c r="A109" s="139">
        <v>104</v>
      </c>
      <c r="B109" s="118">
        <f t="shared" si="33"/>
        <v>3211168.8799999496</v>
      </c>
      <c r="C109" s="115">
        <f t="shared" si="34"/>
        <v>2026</v>
      </c>
      <c r="D109" s="142">
        <f>EOMONTH(Założenia_kredyty!$D$5,A109)</f>
        <v>46053</v>
      </c>
      <c r="E109" s="141">
        <f>HLOOKUP(C109,Założenia!$I$5:$U$11,6,0)+Założenia_kredyty!$D$11</f>
        <v>6.7000000000000004E-2</v>
      </c>
      <c r="F109" s="143">
        <f t="shared" si="36"/>
        <v>18273</v>
      </c>
      <c r="G109" s="118">
        <f>IF(D109&gt;=Założenia_kredyty!$D$6,IF(B109&gt;=Założenia_kredyty!$D$7,Założenia_kredyty!$D$7,B109),0)</f>
        <v>133798.71</v>
      </c>
      <c r="H109" s="118">
        <f>IF(Założenia_kredyty!$D$9="TAK",IF(D109=Założenia_kredyty!$D$6,SUM(Obliczenia_kredyty!F$5:F109),IF(D109&lt;Założenia_kredyty!$D$6,0,F109)),F109)</f>
        <v>18273</v>
      </c>
      <c r="I109" s="118">
        <f t="shared" si="37"/>
        <v>152071.71</v>
      </c>
      <c r="J109" s="118">
        <f t="shared" si="35"/>
        <v>3077370.1699999496</v>
      </c>
      <c r="L109"/>
      <c r="M109"/>
      <c r="N109"/>
      <c r="O109"/>
      <c r="P109"/>
      <c r="Q109"/>
      <c r="R109"/>
      <c r="S109"/>
      <c r="T109"/>
      <c r="U109"/>
      <c r="W109" s="139">
        <v>104</v>
      </c>
      <c r="X109" s="118">
        <f t="shared" si="30"/>
        <v>3211168.8799999496</v>
      </c>
      <c r="Y109" s="115">
        <f t="shared" si="32"/>
        <v>2026</v>
      </c>
      <c r="Z109" s="142">
        <f>EOMONTH(Założenia_kredyty!$D$5,W109)</f>
        <v>46053</v>
      </c>
      <c r="AA109" s="141">
        <f>HLOOKUP(Y109,Założenia!$I$5:$U$11,7,0)</f>
        <v>0</v>
      </c>
      <c r="AB109" s="143">
        <f t="shared" si="31"/>
        <v>18273</v>
      </c>
      <c r="AC109" s="118">
        <f t="shared" si="24"/>
        <v>133798.71</v>
      </c>
      <c r="AD109" s="118">
        <f t="shared" si="25"/>
        <v>18273</v>
      </c>
      <c r="AE109" s="118">
        <f t="shared" si="26"/>
        <v>152071.71</v>
      </c>
      <c r="AF109" s="118">
        <f t="shared" si="27"/>
        <v>3077370.1699999496</v>
      </c>
    </row>
    <row r="110" spans="1:32">
      <c r="A110" s="139">
        <v>105</v>
      </c>
      <c r="B110" s="118">
        <f t="shared" si="33"/>
        <v>3077370.1699999496</v>
      </c>
      <c r="C110" s="115">
        <f t="shared" si="34"/>
        <v>2026</v>
      </c>
      <c r="D110" s="142">
        <f>EOMONTH(Założenia_kredyty!$D$5,A110)</f>
        <v>46081</v>
      </c>
      <c r="E110" s="141">
        <f>HLOOKUP(C110,Założenia!$I$5:$U$11,6,0)+Założenia_kredyty!$D$11</f>
        <v>6.7000000000000004E-2</v>
      </c>
      <c r="F110" s="143">
        <f t="shared" si="36"/>
        <v>15817</v>
      </c>
      <c r="G110" s="118">
        <f>IF(D110&gt;=Założenia_kredyty!$D$6,IF(B110&gt;=Założenia_kredyty!$D$7,Założenia_kredyty!$D$7,B110),0)</f>
        <v>133798.71</v>
      </c>
      <c r="H110" s="118">
        <f>IF(Założenia_kredyty!$D$9="TAK",IF(D110=Założenia_kredyty!$D$6,SUM(Obliczenia_kredyty!F$5:F110),IF(D110&lt;Założenia_kredyty!$D$6,0,F110)),F110)</f>
        <v>15817</v>
      </c>
      <c r="I110" s="118">
        <f t="shared" si="37"/>
        <v>149615.71</v>
      </c>
      <c r="J110" s="118">
        <f t="shared" si="35"/>
        <v>2943571.4599999497</v>
      </c>
      <c r="L110"/>
      <c r="M110"/>
      <c r="N110"/>
      <c r="O110"/>
      <c r="P110"/>
      <c r="Q110"/>
      <c r="R110"/>
      <c r="S110"/>
      <c r="T110"/>
      <c r="U110"/>
      <c r="W110" s="139">
        <v>105</v>
      </c>
      <c r="X110" s="118">
        <f t="shared" si="30"/>
        <v>3077370.1699999496</v>
      </c>
      <c r="Y110" s="115">
        <f t="shared" si="32"/>
        <v>2026</v>
      </c>
      <c r="Z110" s="142">
        <f>EOMONTH(Założenia_kredyty!$D$5,W110)</f>
        <v>46081</v>
      </c>
      <c r="AA110" s="141">
        <f>HLOOKUP(Y110,Założenia!$I$5:$U$11,7,0)</f>
        <v>0</v>
      </c>
      <c r="AB110" s="143">
        <f t="shared" si="31"/>
        <v>15817</v>
      </c>
      <c r="AC110" s="118">
        <f t="shared" si="24"/>
        <v>133798.71</v>
      </c>
      <c r="AD110" s="118">
        <f t="shared" si="25"/>
        <v>15817</v>
      </c>
      <c r="AE110" s="118">
        <f t="shared" si="26"/>
        <v>149615.71</v>
      </c>
      <c r="AF110" s="118">
        <f t="shared" si="27"/>
        <v>2943571.4599999497</v>
      </c>
    </row>
    <row r="111" spans="1:32">
      <c r="A111" s="139">
        <v>106</v>
      </c>
      <c r="B111" s="118">
        <f t="shared" si="33"/>
        <v>2943571.4599999497</v>
      </c>
      <c r="C111" s="115">
        <f t="shared" si="34"/>
        <v>2026</v>
      </c>
      <c r="D111" s="142">
        <f>EOMONTH(Założenia_kredyty!$D$5,A111)</f>
        <v>46112</v>
      </c>
      <c r="E111" s="141">
        <f>HLOOKUP(C111,Założenia!$I$5:$U$11,6,0)+Założenia_kredyty!$D$11</f>
        <v>6.7000000000000004E-2</v>
      </c>
      <c r="F111" s="143">
        <f t="shared" si="36"/>
        <v>16750</v>
      </c>
      <c r="G111" s="118">
        <f>IF(D111&gt;=Założenia_kredyty!$D$6,IF(B111&gt;=Założenia_kredyty!$D$7,Założenia_kredyty!$D$7,B111),0)</f>
        <v>133798.71</v>
      </c>
      <c r="H111" s="118">
        <f>IF(Założenia_kredyty!$D$9="TAK",IF(D111=Założenia_kredyty!$D$6,SUM(Obliczenia_kredyty!F$5:F111),IF(D111&lt;Założenia_kredyty!$D$6,0,F111)),F111)</f>
        <v>16750</v>
      </c>
      <c r="I111" s="118">
        <f t="shared" si="37"/>
        <v>150548.71</v>
      </c>
      <c r="J111" s="118">
        <f t="shared" si="35"/>
        <v>2809772.7499999497</v>
      </c>
      <c r="L111"/>
      <c r="M111"/>
      <c r="N111"/>
      <c r="O111"/>
      <c r="P111"/>
      <c r="Q111"/>
      <c r="R111"/>
      <c r="S111"/>
      <c r="T111"/>
      <c r="U111"/>
      <c r="W111" s="139">
        <v>106</v>
      </c>
      <c r="X111" s="118">
        <f t="shared" si="30"/>
        <v>2943571.4599999497</v>
      </c>
      <c r="Y111" s="115">
        <f t="shared" si="32"/>
        <v>2026</v>
      </c>
      <c r="Z111" s="142">
        <f>EOMONTH(Założenia_kredyty!$D$5,W111)</f>
        <v>46112</v>
      </c>
      <c r="AA111" s="141">
        <f>HLOOKUP(Y111,Założenia!$I$5:$U$11,7,0)</f>
        <v>0</v>
      </c>
      <c r="AB111" s="143">
        <f t="shared" si="31"/>
        <v>16750</v>
      </c>
      <c r="AC111" s="118">
        <f t="shared" si="24"/>
        <v>133798.71</v>
      </c>
      <c r="AD111" s="118">
        <f t="shared" si="25"/>
        <v>16750</v>
      </c>
      <c r="AE111" s="118">
        <f t="shared" si="26"/>
        <v>150548.71</v>
      </c>
      <c r="AF111" s="118">
        <f t="shared" si="27"/>
        <v>2809772.7499999497</v>
      </c>
    </row>
    <row r="112" spans="1:32">
      <c r="A112" s="139">
        <v>107</v>
      </c>
      <c r="B112" s="118">
        <f t="shared" si="33"/>
        <v>2809772.7499999497</v>
      </c>
      <c r="C112" s="115">
        <f t="shared" si="34"/>
        <v>2026</v>
      </c>
      <c r="D112" s="142">
        <f>EOMONTH(Założenia_kredyty!$D$5,A112)</f>
        <v>46142</v>
      </c>
      <c r="E112" s="141">
        <f>HLOOKUP(C112,Założenia!$I$5:$U$11,6,0)+Założenia_kredyty!$D$11</f>
        <v>6.7000000000000004E-2</v>
      </c>
      <c r="F112" s="143">
        <f t="shared" si="36"/>
        <v>15473</v>
      </c>
      <c r="G112" s="118">
        <f>IF(D112&gt;=Założenia_kredyty!$D$6,IF(B112&gt;=Założenia_kredyty!$D$7,Założenia_kredyty!$D$7,B112),0)</f>
        <v>133798.71</v>
      </c>
      <c r="H112" s="118">
        <f>IF(Założenia_kredyty!$D$9="TAK",IF(D112=Założenia_kredyty!$D$6,SUM(Obliczenia_kredyty!F$5:F112),IF(D112&lt;Założenia_kredyty!$D$6,0,F112)),F112)</f>
        <v>15473</v>
      </c>
      <c r="I112" s="118">
        <f t="shared" si="37"/>
        <v>149271.71</v>
      </c>
      <c r="J112" s="118">
        <f t="shared" si="35"/>
        <v>2675974.0399999497</v>
      </c>
      <c r="L112"/>
      <c r="M112"/>
      <c r="N112"/>
      <c r="O112"/>
      <c r="P112"/>
      <c r="Q112"/>
      <c r="R112"/>
      <c r="S112"/>
      <c r="T112"/>
      <c r="U112"/>
      <c r="W112" s="139">
        <v>107</v>
      </c>
      <c r="X112" s="118">
        <f t="shared" si="30"/>
        <v>2809772.7499999497</v>
      </c>
      <c r="Y112" s="115">
        <f t="shared" si="32"/>
        <v>2026</v>
      </c>
      <c r="Z112" s="142">
        <f>EOMONTH(Założenia_kredyty!$D$5,W112)</f>
        <v>46142</v>
      </c>
      <c r="AA112" s="141">
        <f>HLOOKUP(Y112,Założenia!$I$5:$U$11,7,0)</f>
        <v>0</v>
      </c>
      <c r="AB112" s="143">
        <f t="shared" si="31"/>
        <v>15473</v>
      </c>
      <c r="AC112" s="118">
        <f t="shared" si="24"/>
        <v>133798.71</v>
      </c>
      <c r="AD112" s="118">
        <f t="shared" si="25"/>
        <v>15473</v>
      </c>
      <c r="AE112" s="118">
        <f t="shared" si="26"/>
        <v>149271.71</v>
      </c>
      <c r="AF112" s="118">
        <f t="shared" si="27"/>
        <v>2675974.0399999497</v>
      </c>
    </row>
    <row r="113" spans="1:32">
      <c r="A113" s="139">
        <v>108</v>
      </c>
      <c r="B113" s="118">
        <f t="shared" si="33"/>
        <v>2675974.0399999497</v>
      </c>
      <c r="C113" s="115">
        <f t="shared" si="34"/>
        <v>2026</v>
      </c>
      <c r="D113" s="142">
        <f>EOMONTH(Założenia_kredyty!$D$5,A113)</f>
        <v>46173</v>
      </c>
      <c r="E113" s="141">
        <f>HLOOKUP(C113,Założenia!$I$5:$U$11,6,0)+Założenia_kredyty!$D$11</f>
        <v>6.7000000000000004E-2</v>
      </c>
      <c r="F113" s="143">
        <f t="shared" si="36"/>
        <v>15227</v>
      </c>
      <c r="G113" s="118">
        <f>IF(D113&gt;=Założenia_kredyty!$D$6,IF(B113&gt;=Założenia_kredyty!$D$7,Założenia_kredyty!$D$7,B113),0)</f>
        <v>133798.71</v>
      </c>
      <c r="H113" s="118">
        <f>IF(Założenia_kredyty!$D$9="TAK",IF(D113=Założenia_kredyty!$D$6,SUM(Obliczenia_kredyty!F$5:F113),IF(D113&lt;Założenia_kredyty!$D$6,0,F113)),F113)</f>
        <v>15227</v>
      </c>
      <c r="I113" s="118">
        <f t="shared" si="37"/>
        <v>149025.71</v>
      </c>
      <c r="J113" s="118">
        <f t="shared" si="35"/>
        <v>2542175.3299999498</v>
      </c>
      <c r="L113"/>
      <c r="M113"/>
      <c r="N113"/>
      <c r="O113"/>
      <c r="P113"/>
      <c r="Q113"/>
      <c r="R113"/>
      <c r="S113"/>
      <c r="T113"/>
      <c r="U113"/>
      <c r="W113" s="139">
        <v>108</v>
      </c>
      <c r="X113" s="118">
        <f t="shared" si="30"/>
        <v>2675974.0399999497</v>
      </c>
      <c r="Y113" s="115">
        <f t="shared" si="32"/>
        <v>2026</v>
      </c>
      <c r="Z113" s="142">
        <f>EOMONTH(Założenia_kredyty!$D$5,W113)</f>
        <v>46173</v>
      </c>
      <c r="AA113" s="141">
        <f>HLOOKUP(Y113,Założenia!$I$5:$U$11,7,0)</f>
        <v>0</v>
      </c>
      <c r="AB113" s="143">
        <f t="shared" si="31"/>
        <v>15227</v>
      </c>
      <c r="AC113" s="118">
        <f t="shared" si="24"/>
        <v>133798.71</v>
      </c>
      <c r="AD113" s="118">
        <f t="shared" si="25"/>
        <v>15227</v>
      </c>
      <c r="AE113" s="118">
        <f t="shared" si="26"/>
        <v>149025.71</v>
      </c>
      <c r="AF113" s="118">
        <f t="shared" si="27"/>
        <v>2542175.3299999498</v>
      </c>
    </row>
    <row r="114" spans="1:32">
      <c r="A114" s="139">
        <v>109</v>
      </c>
      <c r="B114" s="118">
        <f t="shared" si="33"/>
        <v>2542175.3299999498</v>
      </c>
      <c r="C114" s="115">
        <f t="shared" si="34"/>
        <v>2026</v>
      </c>
      <c r="D114" s="142">
        <f>EOMONTH(Założenia_kredyty!$D$5,A114)</f>
        <v>46203</v>
      </c>
      <c r="E114" s="141">
        <f>HLOOKUP(C114,Założenia!$I$5:$U$11,6,0)+Założenia_kredyty!$D$11</f>
        <v>6.7000000000000004E-2</v>
      </c>
      <c r="F114" s="143">
        <f t="shared" si="36"/>
        <v>13999</v>
      </c>
      <c r="G114" s="118">
        <f>IF(D114&gt;=Założenia_kredyty!$D$6,IF(B114&gt;=Założenia_kredyty!$D$7,Założenia_kredyty!$D$7,B114),0)</f>
        <v>133798.71</v>
      </c>
      <c r="H114" s="118">
        <f>IF(Założenia_kredyty!$D$9="TAK",IF(D114=Założenia_kredyty!$D$6,SUM(Obliczenia_kredyty!F$5:F114),IF(D114&lt;Założenia_kredyty!$D$6,0,F114)),F114)</f>
        <v>13999</v>
      </c>
      <c r="I114" s="118">
        <f t="shared" si="37"/>
        <v>147797.71</v>
      </c>
      <c r="J114" s="118">
        <f t="shared" si="35"/>
        <v>2408376.6199999498</v>
      </c>
      <c r="L114"/>
      <c r="M114"/>
      <c r="N114"/>
      <c r="O114"/>
      <c r="P114"/>
      <c r="Q114"/>
      <c r="R114"/>
      <c r="S114"/>
      <c r="T114"/>
      <c r="U114"/>
      <c r="W114" s="139">
        <v>109</v>
      </c>
      <c r="X114" s="118">
        <f t="shared" si="30"/>
        <v>2542175.3299999498</v>
      </c>
      <c r="Y114" s="115">
        <f t="shared" si="32"/>
        <v>2026</v>
      </c>
      <c r="Z114" s="142">
        <f>EOMONTH(Założenia_kredyty!$D$5,W114)</f>
        <v>46203</v>
      </c>
      <c r="AA114" s="141">
        <f>HLOOKUP(Y114,Założenia!$I$5:$U$11,7,0)</f>
        <v>0</v>
      </c>
      <c r="AB114" s="143">
        <f t="shared" si="31"/>
        <v>13999</v>
      </c>
      <c r="AC114" s="118">
        <f t="shared" si="24"/>
        <v>133798.71</v>
      </c>
      <c r="AD114" s="118">
        <f t="shared" si="25"/>
        <v>13999</v>
      </c>
      <c r="AE114" s="118">
        <f t="shared" si="26"/>
        <v>147797.71</v>
      </c>
      <c r="AF114" s="118">
        <f t="shared" si="27"/>
        <v>2408376.6199999498</v>
      </c>
    </row>
    <row r="115" spans="1:32">
      <c r="A115" s="139">
        <v>110</v>
      </c>
      <c r="B115" s="118">
        <f t="shared" si="33"/>
        <v>2408376.6199999498</v>
      </c>
      <c r="C115" s="115">
        <f t="shared" si="34"/>
        <v>2026</v>
      </c>
      <c r="D115" s="142">
        <f>EOMONTH(Założenia_kredyty!$D$5,A115)</f>
        <v>46234</v>
      </c>
      <c r="E115" s="141">
        <f>HLOOKUP(C115,Założenia!$I$5:$U$11,6,0)+Założenia_kredyty!$D$11</f>
        <v>6.7000000000000004E-2</v>
      </c>
      <c r="F115" s="143">
        <f t="shared" si="36"/>
        <v>13705</v>
      </c>
      <c r="G115" s="118">
        <f>IF(D115&gt;=Założenia_kredyty!$D$6,IF(B115&gt;=Założenia_kredyty!$D$7,Założenia_kredyty!$D$7,B115),0)</f>
        <v>133798.71</v>
      </c>
      <c r="H115" s="118">
        <f>IF(Założenia_kredyty!$D$9="TAK",IF(D115=Założenia_kredyty!$D$6,SUM(Obliczenia_kredyty!F$5:F115),IF(D115&lt;Założenia_kredyty!$D$6,0,F115)),F115)</f>
        <v>13705</v>
      </c>
      <c r="I115" s="118">
        <f t="shared" si="37"/>
        <v>147503.71</v>
      </c>
      <c r="J115" s="118">
        <f t="shared" si="35"/>
        <v>2274577.9099999499</v>
      </c>
      <c r="L115"/>
      <c r="M115"/>
      <c r="N115"/>
      <c r="O115"/>
      <c r="P115"/>
      <c r="Q115"/>
      <c r="R115"/>
      <c r="S115"/>
      <c r="T115"/>
      <c r="U115"/>
      <c r="W115" s="139">
        <v>110</v>
      </c>
      <c r="X115" s="118">
        <f t="shared" si="30"/>
        <v>2408376.6199999498</v>
      </c>
      <c r="Y115" s="115">
        <f t="shared" si="32"/>
        <v>2026</v>
      </c>
      <c r="Z115" s="142">
        <f>EOMONTH(Założenia_kredyty!$D$5,W115)</f>
        <v>46234</v>
      </c>
      <c r="AA115" s="141">
        <f>HLOOKUP(Y115,Założenia!$I$5:$U$11,7,0)</f>
        <v>0</v>
      </c>
      <c r="AB115" s="143">
        <f t="shared" si="31"/>
        <v>13705</v>
      </c>
      <c r="AC115" s="118">
        <f t="shared" si="24"/>
        <v>133798.71</v>
      </c>
      <c r="AD115" s="118">
        <f t="shared" si="25"/>
        <v>13705</v>
      </c>
      <c r="AE115" s="118">
        <f t="shared" si="26"/>
        <v>147503.71</v>
      </c>
      <c r="AF115" s="118">
        <f t="shared" si="27"/>
        <v>2274577.9099999499</v>
      </c>
    </row>
    <row r="116" spans="1:32">
      <c r="A116" s="139">
        <v>111</v>
      </c>
      <c r="B116" s="118">
        <f t="shared" ref="B116:B132" si="38">J115</f>
        <v>2274577.9099999499</v>
      </c>
      <c r="C116" s="115">
        <f t="shared" si="34"/>
        <v>2026</v>
      </c>
      <c r="D116" s="142">
        <f>EOMONTH(Założenia_kredyty!$D$5,A116)</f>
        <v>46265</v>
      </c>
      <c r="E116" s="141">
        <f>HLOOKUP(C116,Założenia!$I$5:$U$11,6,0)+Założenia_kredyty!$D$11</f>
        <v>6.7000000000000004E-2</v>
      </c>
      <c r="F116" s="143">
        <f t="shared" si="36"/>
        <v>12943</v>
      </c>
      <c r="G116" s="118">
        <f>IF(D116&gt;=Założenia_kredyty!$D$6,IF(B116&gt;=Założenia_kredyty!$D$7,Założenia_kredyty!$D$7,B116),0)</f>
        <v>133798.71</v>
      </c>
      <c r="H116" s="118">
        <f>IF(Założenia_kredyty!$D$9="TAK",IF(D116=Założenia_kredyty!$D$6,SUM(Obliczenia_kredyty!F$5:F116),IF(D116&lt;Założenia_kredyty!$D$6,0,F116)),F116)</f>
        <v>12943</v>
      </c>
      <c r="I116" s="118">
        <f t="shared" si="37"/>
        <v>146741.71</v>
      </c>
      <c r="J116" s="118">
        <f t="shared" si="35"/>
        <v>2140779.1999999499</v>
      </c>
      <c r="L116"/>
      <c r="M116"/>
      <c r="N116"/>
      <c r="O116"/>
      <c r="P116"/>
      <c r="Q116"/>
      <c r="R116"/>
      <c r="S116"/>
      <c r="T116"/>
      <c r="U116"/>
      <c r="W116" s="139">
        <v>111</v>
      </c>
      <c r="X116" s="118">
        <f t="shared" si="30"/>
        <v>2274577.9099999499</v>
      </c>
      <c r="Y116" s="115">
        <f t="shared" si="32"/>
        <v>2026</v>
      </c>
      <c r="Z116" s="142">
        <f>EOMONTH(Założenia_kredyty!$D$5,W116)</f>
        <v>46265</v>
      </c>
      <c r="AA116" s="141">
        <f>HLOOKUP(Y116,Założenia!$I$5:$U$11,7,0)</f>
        <v>0</v>
      </c>
      <c r="AB116" s="143">
        <f t="shared" si="31"/>
        <v>12943</v>
      </c>
      <c r="AC116" s="118">
        <f t="shared" si="24"/>
        <v>133798.71</v>
      </c>
      <c r="AD116" s="118">
        <f t="shared" si="25"/>
        <v>12943</v>
      </c>
      <c r="AE116" s="118">
        <f t="shared" si="26"/>
        <v>146741.71</v>
      </c>
      <c r="AF116" s="118">
        <f t="shared" si="27"/>
        <v>2140779.1999999499</v>
      </c>
    </row>
    <row r="117" spans="1:32">
      <c r="A117" s="139">
        <v>112</v>
      </c>
      <c r="B117" s="118">
        <f t="shared" si="38"/>
        <v>2140779.1999999499</v>
      </c>
      <c r="C117" s="115">
        <f t="shared" si="34"/>
        <v>2026</v>
      </c>
      <c r="D117" s="142">
        <f>EOMONTH(Założenia_kredyty!$D$5,A117)</f>
        <v>46295</v>
      </c>
      <c r="E117" s="141">
        <f>HLOOKUP(C117,Założenia!$I$5:$U$11,6,0)+Założenia_kredyty!$D$11</f>
        <v>6.7000000000000004E-2</v>
      </c>
      <c r="F117" s="143">
        <f t="shared" si="36"/>
        <v>11789</v>
      </c>
      <c r="G117" s="118">
        <f>IF(D117&gt;=Założenia_kredyty!$D$6,IF(B117&gt;=Założenia_kredyty!$D$7,Założenia_kredyty!$D$7,B117),0)</f>
        <v>133798.71</v>
      </c>
      <c r="H117" s="118">
        <f>IF(Założenia_kredyty!$D$9="TAK",IF(D117=Założenia_kredyty!$D$6,SUM(Obliczenia_kredyty!F$5:F117),IF(D117&lt;Założenia_kredyty!$D$6,0,F117)),F117)</f>
        <v>11789</v>
      </c>
      <c r="I117" s="118">
        <f t="shared" si="37"/>
        <v>145587.71</v>
      </c>
      <c r="J117" s="118">
        <f t="shared" si="35"/>
        <v>2006980.4899999499</v>
      </c>
      <c r="L117"/>
      <c r="M117"/>
      <c r="N117"/>
      <c r="O117"/>
      <c r="P117"/>
      <c r="Q117"/>
      <c r="R117"/>
      <c r="S117"/>
      <c r="T117"/>
      <c r="U117"/>
      <c r="W117" s="139">
        <v>112</v>
      </c>
      <c r="X117" s="118">
        <f t="shared" si="30"/>
        <v>2140779.1999999499</v>
      </c>
      <c r="Y117" s="115">
        <f t="shared" si="32"/>
        <v>2026</v>
      </c>
      <c r="Z117" s="142">
        <f>EOMONTH(Założenia_kredyty!$D$5,W117)</f>
        <v>46295</v>
      </c>
      <c r="AA117" s="141">
        <f>HLOOKUP(Y117,Założenia!$I$5:$U$11,7,0)</f>
        <v>0</v>
      </c>
      <c r="AB117" s="143">
        <f t="shared" si="31"/>
        <v>11789</v>
      </c>
      <c r="AC117" s="118">
        <f t="shared" si="24"/>
        <v>133798.71</v>
      </c>
      <c r="AD117" s="118">
        <f t="shared" si="25"/>
        <v>11789</v>
      </c>
      <c r="AE117" s="118">
        <f t="shared" si="26"/>
        <v>145587.71</v>
      </c>
      <c r="AF117" s="118">
        <f t="shared" si="27"/>
        <v>2006980.4899999499</v>
      </c>
    </row>
    <row r="118" spans="1:32">
      <c r="A118" s="139">
        <v>113</v>
      </c>
      <c r="B118" s="118">
        <f t="shared" si="38"/>
        <v>2006980.4899999499</v>
      </c>
      <c r="C118" s="115">
        <f t="shared" si="34"/>
        <v>2026</v>
      </c>
      <c r="D118" s="142">
        <f>EOMONTH(Założenia_kredyty!$D$5,A118)</f>
        <v>46326</v>
      </c>
      <c r="E118" s="141">
        <f>HLOOKUP(C118,Założenia!$I$5:$U$11,6,0)+Założenia_kredyty!$D$11</f>
        <v>6.7000000000000004E-2</v>
      </c>
      <c r="F118" s="143">
        <f t="shared" si="36"/>
        <v>11421</v>
      </c>
      <c r="G118" s="118">
        <f>IF(D118&gt;=Założenia_kredyty!$D$6,IF(B118&gt;=Założenia_kredyty!$D$7,Założenia_kredyty!$D$7,B118),0)</f>
        <v>133798.71</v>
      </c>
      <c r="H118" s="118">
        <f>IF(Założenia_kredyty!$D$9="TAK",IF(D118=Założenia_kredyty!$D$6,SUM(Obliczenia_kredyty!F$5:F118),IF(D118&lt;Założenia_kredyty!$D$6,0,F118)),F118)</f>
        <v>11421</v>
      </c>
      <c r="I118" s="118">
        <f t="shared" si="37"/>
        <v>145219.71</v>
      </c>
      <c r="J118" s="118">
        <f t="shared" si="35"/>
        <v>1873181.77999995</v>
      </c>
      <c r="L118"/>
      <c r="M118"/>
      <c r="N118"/>
      <c r="O118"/>
      <c r="P118"/>
      <c r="Q118"/>
      <c r="R118"/>
      <c r="S118"/>
      <c r="T118"/>
      <c r="U118"/>
      <c r="W118" s="139">
        <v>113</v>
      </c>
      <c r="X118" s="118">
        <f t="shared" si="30"/>
        <v>2006980.4899999499</v>
      </c>
      <c r="Y118" s="115">
        <f t="shared" si="32"/>
        <v>2026</v>
      </c>
      <c r="Z118" s="142">
        <f>EOMONTH(Założenia_kredyty!$D$5,W118)</f>
        <v>46326</v>
      </c>
      <c r="AA118" s="141">
        <f>HLOOKUP(Y118,Założenia!$I$5:$U$11,7,0)</f>
        <v>0</v>
      </c>
      <c r="AB118" s="143">
        <f t="shared" si="31"/>
        <v>11421</v>
      </c>
      <c r="AC118" s="118">
        <f t="shared" si="24"/>
        <v>133798.71</v>
      </c>
      <c r="AD118" s="118">
        <f t="shared" si="25"/>
        <v>11421</v>
      </c>
      <c r="AE118" s="118">
        <f t="shared" si="26"/>
        <v>145219.71</v>
      </c>
      <c r="AF118" s="118">
        <f t="shared" si="27"/>
        <v>1873181.77999995</v>
      </c>
    </row>
    <row r="119" spans="1:32">
      <c r="A119" s="139">
        <v>114</v>
      </c>
      <c r="B119" s="118">
        <f t="shared" si="38"/>
        <v>1873181.77999995</v>
      </c>
      <c r="C119" s="115">
        <f t="shared" si="34"/>
        <v>2026</v>
      </c>
      <c r="D119" s="142">
        <f>EOMONTH(Założenia_kredyty!$D$5,A119)</f>
        <v>46356</v>
      </c>
      <c r="E119" s="141">
        <f>HLOOKUP(C119,Założenia!$I$5:$U$11,6,0)+Założenia_kredyty!$D$11</f>
        <v>6.7000000000000004E-2</v>
      </c>
      <c r="F119" s="143">
        <f t="shared" si="36"/>
        <v>10315</v>
      </c>
      <c r="G119" s="118">
        <f>IF(D119&gt;=Założenia_kredyty!$D$6,IF(B119&gt;=Założenia_kredyty!$D$7,Założenia_kredyty!$D$7,B119),0)</f>
        <v>133798.71</v>
      </c>
      <c r="H119" s="118">
        <f>IF(Założenia_kredyty!$D$9="TAK",IF(D119=Założenia_kredyty!$D$6,SUM(Obliczenia_kredyty!F$5:F119),IF(D119&lt;Założenia_kredyty!$D$6,0,F119)),F119)</f>
        <v>10315</v>
      </c>
      <c r="I119" s="118">
        <f t="shared" si="37"/>
        <v>144113.71</v>
      </c>
      <c r="J119" s="118">
        <f t="shared" si="35"/>
        <v>1739383.06999995</v>
      </c>
      <c r="L119"/>
      <c r="M119"/>
      <c r="N119"/>
      <c r="O119"/>
      <c r="P119"/>
      <c r="Q119"/>
      <c r="R119"/>
      <c r="S119"/>
      <c r="T119"/>
      <c r="U119"/>
      <c r="W119" s="139">
        <v>114</v>
      </c>
      <c r="X119" s="118">
        <f t="shared" si="30"/>
        <v>1873181.77999995</v>
      </c>
      <c r="Y119" s="115">
        <f t="shared" si="32"/>
        <v>2026</v>
      </c>
      <c r="Z119" s="142">
        <f>EOMONTH(Założenia_kredyty!$D$5,W119)</f>
        <v>46356</v>
      </c>
      <c r="AA119" s="141">
        <f>HLOOKUP(Y119,Założenia!$I$5:$U$11,7,0)</f>
        <v>0</v>
      </c>
      <c r="AB119" s="143">
        <f t="shared" si="31"/>
        <v>10315</v>
      </c>
      <c r="AC119" s="118">
        <f t="shared" si="24"/>
        <v>133798.71</v>
      </c>
      <c r="AD119" s="118">
        <f t="shared" si="25"/>
        <v>10315</v>
      </c>
      <c r="AE119" s="118">
        <f t="shared" si="26"/>
        <v>144113.71</v>
      </c>
      <c r="AF119" s="118">
        <f t="shared" si="27"/>
        <v>1739383.06999995</v>
      </c>
    </row>
    <row r="120" spans="1:32">
      <c r="A120" s="139">
        <v>115</v>
      </c>
      <c r="B120" s="118">
        <f t="shared" si="38"/>
        <v>1739383.06999995</v>
      </c>
      <c r="C120" s="115">
        <f t="shared" si="34"/>
        <v>2026</v>
      </c>
      <c r="D120" s="142">
        <f>EOMONTH(Założenia_kredyty!$D$5,A120)</f>
        <v>46387</v>
      </c>
      <c r="E120" s="141">
        <f>HLOOKUP(C120,Założenia!$I$5:$U$11,6,0)+Założenia_kredyty!$D$11</f>
        <v>6.7000000000000004E-2</v>
      </c>
      <c r="F120" s="143">
        <f t="shared" si="36"/>
        <v>9898</v>
      </c>
      <c r="G120" s="118">
        <f>IF(D120&gt;=Założenia_kredyty!$D$6,IF(B120&gt;=Założenia_kredyty!$D$7,Założenia_kredyty!$D$7,B120),0)</f>
        <v>133798.71</v>
      </c>
      <c r="H120" s="118">
        <f>IF(Założenia_kredyty!$D$9="TAK",IF(D120=Założenia_kredyty!$D$6,SUM(Obliczenia_kredyty!F$5:F120),IF(D120&lt;Założenia_kredyty!$D$6,0,F120)),F120)</f>
        <v>9898</v>
      </c>
      <c r="I120" s="118">
        <f t="shared" si="37"/>
        <v>143696.71</v>
      </c>
      <c r="J120" s="118">
        <f t="shared" si="35"/>
        <v>1605584.35999995</v>
      </c>
      <c r="L120"/>
      <c r="M120"/>
      <c r="N120"/>
      <c r="O120"/>
      <c r="P120"/>
      <c r="Q120"/>
      <c r="R120"/>
      <c r="S120"/>
      <c r="T120"/>
      <c r="U120"/>
      <c r="W120" s="139">
        <v>115</v>
      </c>
      <c r="X120" s="118">
        <f t="shared" si="30"/>
        <v>1739383.06999995</v>
      </c>
      <c r="Y120" s="115">
        <f t="shared" si="32"/>
        <v>2026</v>
      </c>
      <c r="Z120" s="142">
        <f>EOMONTH(Założenia_kredyty!$D$5,W120)</f>
        <v>46387</v>
      </c>
      <c r="AA120" s="141">
        <f>HLOOKUP(Y120,Założenia!$I$5:$U$11,7,0)</f>
        <v>0</v>
      </c>
      <c r="AB120" s="143">
        <f t="shared" si="31"/>
        <v>9898</v>
      </c>
      <c r="AC120" s="118">
        <f t="shared" si="24"/>
        <v>133798.71</v>
      </c>
      <c r="AD120" s="118">
        <f t="shared" si="25"/>
        <v>9898</v>
      </c>
      <c r="AE120" s="118">
        <f t="shared" si="26"/>
        <v>143696.71</v>
      </c>
      <c r="AF120" s="118">
        <f t="shared" si="27"/>
        <v>1605584.35999995</v>
      </c>
    </row>
    <row r="121" spans="1:32">
      <c r="A121" s="139">
        <v>116</v>
      </c>
      <c r="B121" s="118">
        <f t="shared" si="38"/>
        <v>1605584.35999995</v>
      </c>
      <c r="C121" s="115">
        <f t="shared" si="34"/>
        <v>2027</v>
      </c>
      <c r="D121" s="142">
        <f>EOMONTH(Założenia_kredyty!$D$5,A121)</f>
        <v>46418</v>
      </c>
      <c r="E121" s="141">
        <f>HLOOKUP(C121,Założenia!$I$5:$U$11,6,0)+Założenia_kredyty!$D$11</f>
        <v>6.7000000000000004E-2</v>
      </c>
      <c r="F121" s="143">
        <f t="shared" si="36"/>
        <v>9136</v>
      </c>
      <c r="G121" s="118">
        <f>IF(D121&gt;=Założenia_kredyty!$D$6,IF(B121&gt;=Założenia_kredyty!$D$7,Założenia_kredyty!$D$7,B121),0)</f>
        <v>133798.71</v>
      </c>
      <c r="H121" s="118">
        <f>IF(Założenia_kredyty!$D$9="TAK",IF(D121=Założenia_kredyty!$D$6,SUM(Obliczenia_kredyty!F$5:F121),IF(D121&lt;Założenia_kredyty!$D$6,0,F121)),F121)</f>
        <v>9136</v>
      </c>
      <c r="I121" s="118">
        <f t="shared" si="37"/>
        <v>142934.71</v>
      </c>
      <c r="J121" s="118">
        <f t="shared" si="35"/>
        <v>1471785.6499999501</v>
      </c>
      <c r="L121"/>
      <c r="M121"/>
      <c r="N121"/>
      <c r="O121"/>
      <c r="P121"/>
      <c r="Q121"/>
      <c r="R121"/>
      <c r="S121"/>
      <c r="T121"/>
      <c r="U121"/>
      <c r="W121" s="139">
        <v>116</v>
      </c>
      <c r="X121" s="118">
        <f t="shared" si="30"/>
        <v>1605584.35999995</v>
      </c>
      <c r="Y121" s="115">
        <f t="shared" si="32"/>
        <v>2027</v>
      </c>
      <c r="Z121" s="142">
        <f>EOMONTH(Założenia_kredyty!$D$5,W121)</f>
        <v>46418</v>
      </c>
      <c r="AA121" s="141">
        <f>HLOOKUP(Y121,Założenia!$I$5:$U$11,7,0)</f>
        <v>0</v>
      </c>
      <c r="AB121" s="143">
        <f t="shared" si="31"/>
        <v>9136</v>
      </c>
      <c r="AC121" s="118">
        <f t="shared" si="24"/>
        <v>133798.71</v>
      </c>
      <c r="AD121" s="118">
        <f t="shared" si="25"/>
        <v>9136</v>
      </c>
      <c r="AE121" s="118">
        <f t="shared" si="26"/>
        <v>142934.71</v>
      </c>
      <c r="AF121" s="118">
        <f t="shared" si="27"/>
        <v>1471785.6499999501</v>
      </c>
    </row>
    <row r="122" spans="1:32">
      <c r="A122" s="139">
        <v>117</v>
      </c>
      <c r="B122" s="118">
        <f t="shared" si="38"/>
        <v>1471785.6499999501</v>
      </c>
      <c r="C122" s="115">
        <f t="shared" si="34"/>
        <v>2027</v>
      </c>
      <c r="D122" s="142">
        <f>EOMONTH(Założenia_kredyty!$D$5,A122)</f>
        <v>46446</v>
      </c>
      <c r="E122" s="141">
        <f>HLOOKUP(C122,Założenia!$I$5:$U$11,6,0)+Założenia_kredyty!$D$11</f>
        <v>6.7000000000000004E-2</v>
      </c>
      <c r="F122" s="143">
        <f t="shared" si="36"/>
        <v>7565</v>
      </c>
      <c r="G122" s="118">
        <f>IF(D122&gt;=Założenia_kredyty!$D$6,IF(B122&gt;=Założenia_kredyty!$D$7,Założenia_kredyty!$D$7,B122),0)</f>
        <v>133798.71</v>
      </c>
      <c r="H122" s="118">
        <f>IF(Założenia_kredyty!$D$9="TAK",IF(D122=Założenia_kredyty!$D$6,SUM(Obliczenia_kredyty!F$5:F122),IF(D122&lt;Założenia_kredyty!$D$6,0,F122)),F122)</f>
        <v>7565</v>
      </c>
      <c r="I122" s="118">
        <f t="shared" si="37"/>
        <v>141363.71</v>
      </c>
      <c r="J122" s="118">
        <f t="shared" si="35"/>
        <v>1337986.9399999501</v>
      </c>
      <c r="L122"/>
      <c r="M122"/>
      <c r="N122"/>
      <c r="O122"/>
      <c r="P122"/>
      <c r="Q122"/>
      <c r="R122"/>
      <c r="S122"/>
      <c r="T122"/>
      <c r="U122"/>
      <c r="W122" s="139">
        <v>117</v>
      </c>
      <c r="X122" s="118">
        <f t="shared" si="30"/>
        <v>1471785.6499999501</v>
      </c>
      <c r="Y122" s="115">
        <f t="shared" si="32"/>
        <v>2027</v>
      </c>
      <c r="Z122" s="142">
        <f>EOMONTH(Założenia_kredyty!$D$5,W122)</f>
        <v>46446</v>
      </c>
      <c r="AA122" s="141">
        <f>HLOOKUP(Y122,Założenia!$I$5:$U$11,7,0)</f>
        <v>0</v>
      </c>
      <c r="AB122" s="143">
        <f t="shared" si="31"/>
        <v>7565</v>
      </c>
      <c r="AC122" s="118">
        <f t="shared" si="24"/>
        <v>133798.71</v>
      </c>
      <c r="AD122" s="118">
        <f t="shared" si="25"/>
        <v>7565</v>
      </c>
      <c r="AE122" s="118">
        <f t="shared" si="26"/>
        <v>141363.71</v>
      </c>
      <c r="AF122" s="118">
        <f t="shared" si="27"/>
        <v>1337986.9399999501</v>
      </c>
    </row>
    <row r="123" spans="1:32">
      <c r="A123" s="139">
        <v>118</v>
      </c>
      <c r="B123" s="118">
        <f t="shared" si="38"/>
        <v>1337986.9399999501</v>
      </c>
      <c r="C123" s="115">
        <f t="shared" si="34"/>
        <v>2027</v>
      </c>
      <c r="D123" s="142">
        <f>EOMONTH(Założenia_kredyty!$D$5,A123)</f>
        <v>46477</v>
      </c>
      <c r="E123" s="141">
        <f>HLOOKUP(C123,Założenia!$I$5:$U$11,6,0)+Założenia_kredyty!$D$11</f>
        <v>6.7000000000000004E-2</v>
      </c>
      <c r="F123" s="143">
        <f t="shared" si="36"/>
        <v>7614</v>
      </c>
      <c r="G123" s="118">
        <f>IF(D123&gt;=Założenia_kredyty!$D$6,IF(B123&gt;=Założenia_kredyty!$D$7,Założenia_kredyty!$D$7,B123),0)</f>
        <v>133798.71</v>
      </c>
      <c r="H123" s="118">
        <f>IF(Założenia_kredyty!$D$9="TAK",IF(D123=Założenia_kredyty!$D$6,SUM(Obliczenia_kredyty!F$5:F123),IF(D123&lt;Założenia_kredyty!$D$6,0,F123)),F123)</f>
        <v>7614</v>
      </c>
      <c r="I123" s="118">
        <f t="shared" si="37"/>
        <v>141412.71</v>
      </c>
      <c r="J123" s="118">
        <f t="shared" si="35"/>
        <v>1204188.2299999502</v>
      </c>
      <c r="L123"/>
      <c r="M123"/>
      <c r="N123"/>
      <c r="O123"/>
      <c r="P123"/>
      <c r="Q123"/>
      <c r="R123"/>
      <c r="S123"/>
      <c r="T123"/>
      <c r="U123"/>
      <c r="W123" s="139">
        <v>118</v>
      </c>
      <c r="X123" s="118">
        <f t="shared" si="30"/>
        <v>1337986.9399999501</v>
      </c>
      <c r="Y123" s="115">
        <f t="shared" si="32"/>
        <v>2027</v>
      </c>
      <c r="Z123" s="142">
        <f>EOMONTH(Założenia_kredyty!$D$5,W123)</f>
        <v>46477</v>
      </c>
      <c r="AA123" s="141">
        <f>HLOOKUP(Y123,Założenia!$I$5:$U$11,7,0)</f>
        <v>0</v>
      </c>
      <c r="AB123" s="143">
        <f t="shared" si="31"/>
        <v>7614</v>
      </c>
      <c r="AC123" s="118">
        <f t="shared" si="24"/>
        <v>133798.71</v>
      </c>
      <c r="AD123" s="118">
        <f t="shared" si="25"/>
        <v>7614</v>
      </c>
      <c r="AE123" s="118">
        <f t="shared" si="26"/>
        <v>141412.71</v>
      </c>
      <c r="AF123" s="118">
        <f t="shared" si="27"/>
        <v>1204188.2299999502</v>
      </c>
    </row>
    <row r="124" spans="1:32">
      <c r="A124" s="139">
        <v>119</v>
      </c>
      <c r="B124" s="118">
        <f t="shared" si="38"/>
        <v>1204188.2299999502</v>
      </c>
      <c r="C124" s="115">
        <f t="shared" si="34"/>
        <v>2027</v>
      </c>
      <c r="D124" s="142">
        <f>EOMONTH(Założenia_kredyty!$D$5,A124)</f>
        <v>46507</v>
      </c>
      <c r="E124" s="141">
        <f>HLOOKUP(C124,Założenia!$I$5:$U$11,6,0)+Założenia_kredyty!$D$11</f>
        <v>6.7000000000000004E-2</v>
      </c>
      <c r="F124" s="143">
        <f t="shared" si="36"/>
        <v>6631</v>
      </c>
      <c r="G124" s="118">
        <f>IF(D124&gt;=Założenia_kredyty!$D$6,IF(B124&gt;=Założenia_kredyty!$D$7,Założenia_kredyty!$D$7,B124),0)</f>
        <v>133798.71</v>
      </c>
      <c r="H124" s="118">
        <f>IF(Założenia_kredyty!$D$9="TAK",IF(D124=Założenia_kredyty!$D$6,SUM(Obliczenia_kredyty!F$5:F124),IF(D124&lt;Założenia_kredyty!$D$6,0,F124)),F124)</f>
        <v>6631</v>
      </c>
      <c r="I124" s="118">
        <f t="shared" si="37"/>
        <v>140429.71</v>
      </c>
      <c r="J124" s="118">
        <f t="shared" si="35"/>
        <v>1070389.5199999502</v>
      </c>
      <c r="L124"/>
      <c r="M124"/>
      <c r="N124"/>
      <c r="O124"/>
      <c r="P124"/>
      <c r="Q124"/>
      <c r="R124"/>
      <c r="S124"/>
      <c r="T124"/>
      <c r="U124"/>
      <c r="W124" s="139">
        <v>119</v>
      </c>
      <c r="X124" s="118">
        <f t="shared" si="30"/>
        <v>1204188.2299999502</v>
      </c>
      <c r="Y124" s="115">
        <f t="shared" si="32"/>
        <v>2027</v>
      </c>
      <c r="Z124" s="142">
        <f>EOMONTH(Założenia_kredyty!$D$5,W124)</f>
        <v>46507</v>
      </c>
      <c r="AA124" s="141">
        <f>HLOOKUP(Y124,Założenia!$I$5:$U$11,7,0)</f>
        <v>0</v>
      </c>
      <c r="AB124" s="143">
        <f t="shared" si="31"/>
        <v>6631</v>
      </c>
      <c r="AC124" s="118">
        <f t="shared" si="24"/>
        <v>133798.71</v>
      </c>
      <c r="AD124" s="118">
        <f t="shared" si="25"/>
        <v>6631</v>
      </c>
      <c r="AE124" s="118">
        <f t="shared" si="26"/>
        <v>140429.71</v>
      </c>
      <c r="AF124" s="118">
        <f t="shared" si="27"/>
        <v>1070389.5199999502</v>
      </c>
    </row>
    <row r="125" spans="1:32">
      <c r="A125" s="139">
        <v>120</v>
      </c>
      <c r="B125" s="118">
        <f t="shared" si="38"/>
        <v>1070389.5199999502</v>
      </c>
      <c r="C125" s="115">
        <f t="shared" si="34"/>
        <v>2027</v>
      </c>
      <c r="D125" s="142">
        <f>EOMONTH(Założenia_kredyty!$D$5,A125)</f>
        <v>46538</v>
      </c>
      <c r="E125" s="141">
        <f>HLOOKUP(C125,Założenia!$I$5:$U$11,6,0)+Założenia_kredyty!$D$11</f>
        <v>6.7000000000000004E-2</v>
      </c>
      <c r="F125" s="143">
        <f t="shared" si="36"/>
        <v>6091</v>
      </c>
      <c r="G125" s="118">
        <f>IF(D125&gt;=Założenia_kredyty!$D$6,IF(B125&gt;=Założenia_kredyty!$D$7,Założenia_kredyty!$D$7,B125),0)</f>
        <v>133798.71</v>
      </c>
      <c r="H125" s="118">
        <f>IF(Założenia_kredyty!$D$9="TAK",IF(D125=Założenia_kredyty!$D$6,SUM(Obliczenia_kredyty!F$5:F125),IF(D125&lt;Założenia_kredyty!$D$6,0,F125)),F125)</f>
        <v>6091</v>
      </c>
      <c r="I125" s="118">
        <f t="shared" si="37"/>
        <v>139889.71</v>
      </c>
      <c r="J125" s="118">
        <f t="shared" si="35"/>
        <v>936590.80999995023</v>
      </c>
      <c r="L125"/>
      <c r="M125"/>
      <c r="N125"/>
      <c r="O125"/>
      <c r="P125"/>
      <c r="Q125"/>
      <c r="R125"/>
      <c r="S125"/>
      <c r="T125"/>
      <c r="U125"/>
      <c r="W125" s="139">
        <v>120</v>
      </c>
      <c r="X125" s="118">
        <f t="shared" si="30"/>
        <v>1070389.5199999502</v>
      </c>
      <c r="Y125" s="115">
        <f t="shared" si="32"/>
        <v>2027</v>
      </c>
      <c r="Z125" s="142">
        <f>EOMONTH(Założenia_kredyty!$D$5,W125)</f>
        <v>46538</v>
      </c>
      <c r="AA125" s="141">
        <f>HLOOKUP(Y125,Założenia!$I$5:$U$11,7,0)</f>
        <v>0</v>
      </c>
      <c r="AB125" s="143">
        <f t="shared" si="31"/>
        <v>6091</v>
      </c>
      <c r="AC125" s="118">
        <f t="shared" si="24"/>
        <v>133798.71</v>
      </c>
      <c r="AD125" s="118">
        <f t="shared" si="25"/>
        <v>6091</v>
      </c>
      <c r="AE125" s="118">
        <f t="shared" si="26"/>
        <v>139889.71</v>
      </c>
      <c r="AF125" s="118">
        <f t="shared" si="27"/>
        <v>936590.80999995023</v>
      </c>
    </row>
    <row r="126" spans="1:32">
      <c r="A126" s="139">
        <v>121</v>
      </c>
      <c r="B126" s="118">
        <f t="shared" si="38"/>
        <v>936590.80999995023</v>
      </c>
      <c r="C126" s="115">
        <f t="shared" si="34"/>
        <v>2027</v>
      </c>
      <c r="D126" s="142">
        <f>EOMONTH(Założenia_kredyty!$D$5,A126)</f>
        <v>46568</v>
      </c>
      <c r="E126" s="141">
        <f>HLOOKUP(C126,Założenia!$I$5:$U$11,6,0)+Założenia_kredyty!$D$11</f>
        <v>6.7000000000000004E-2</v>
      </c>
      <c r="F126" s="143">
        <f t="shared" si="36"/>
        <v>5158</v>
      </c>
      <c r="G126" s="118">
        <f>IF(D126&gt;=Założenia_kredyty!$D$6,IF(B126&gt;=Założenia_kredyty!$D$7,Założenia_kredyty!$D$7,B126),0)</f>
        <v>133798.71</v>
      </c>
      <c r="H126" s="118">
        <f>IF(Założenia_kredyty!$D$9="TAK",IF(D126=Założenia_kredyty!$D$6,SUM(Obliczenia_kredyty!F$5:F126),IF(D126&lt;Założenia_kredyty!$D$6,0,F126)),F126)</f>
        <v>5158</v>
      </c>
      <c r="I126" s="118">
        <f t="shared" si="37"/>
        <v>138956.71</v>
      </c>
      <c r="J126" s="118">
        <f t="shared" si="35"/>
        <v>802792.09999995027</v>
      </c>
      <c r="L126"/>
      <c r="M126"/>
      <c r="N126"/>
      <c r="O126"/>
      <c r="P126"/>
      <c r="Q126"/>
      <c r="R126"/>
      <c r="S126"/>
      <c r="T126"/>
      <c r="U126"/>
      <c r="W126" s="139">
        <v>121</v>
      </c>
      <c r="X126" s="118">
        <f t="shared" si="30"/>
        <v>936590.80999995023</v>
      </c>
      <c r="Y126" s="115">
        <f t="shared" si="32"/>
        <v>2027</v>
      </c>
      <c r="Z126" s="142">
        <f>EOMONTH(Założenia_kredyty!$D$5,W126)</f>
        <v>46568</v>
      </c>
      <c r="AA126" s="141">
        <f>HLOOKUP(Y126,Założenia!$I$5:$U$11,7,0)</f>
        <v>0</v>
      </c>
      <c r="AB126" s="143">
        <f t="shared" si="31"/>
        <v>5158</v>
      </c>
      <c r="AC126" s="118">
        <f t="shared" si="24"/>
        <v>133798.71</v>
      </c>
      <c r="AD126" s="118">
        <f t="shared" si="25"/>
        <v>5158</v>
      </c>
      <c r="AE126" s="118">
        <f t="shared" si="26"/>
        <v>138956.71</v>
      </c>
      <c r="AF126" s="118">
        <f t="shared" si="27"/>
        <v>802792.09999995027</v>
      </c>
    </row>
    <row r="127" spans="1:32">
      <c r="A127" s="139">
        <v>122</v>
      </c>
      <c r="B127" s="118">
        <f t="shared" si="38"/>
        <v>802792.09999995027</v>
      </c>
      <c r="C127" s="115">
        <f t="shared" si="34"/>
        <v>2027</v>
      </c>
      <c r="D127" s="142">
        <f>EOMONTH(Założenia_kredyty!$D$5,A127)</f>
        <v>46599</v>
      </c>
      <c r="E127" s="141">
        <f>HLOOKUP(C127,Założenia!$I$5:$U$11,6,0)+Założenia_kredyty!$D$11</f>
        <v>6.7000000000000004E-2</v>
      </c>
      <c r="F127" s="143">
        <f t="shared" si="36"/>
        <v>4568</v>
      </c>
      <c r="G127" s="118">
        <f>IF(D127&gt;=Założenia_kredyty!$D$6,IF(B127&gt;=Założenia_kredyty!$D$7,Założenia_kredyty!$D$7,B127),0)</f>
        <v>133798.71</v>
      </c>
      <c r="H127" s="118">
        <f>IF(Założenia_kredyty!$D$9="TAK",IF(D127=Założenia_kredyty!$D$6,SUM(Obliczenia_kredyty!F$5:F127),IF(D127&lt;Założenia_kredyty!$D$6,0,F127)),F127)</f>
        <v>4568</v>
      </c>
      <c r="I127" s="118">
        <f t="shared" si="37"/>
        <v>138366.71</v>
      </c>
      <c r="J127" s="118">
        <f t="shared" si="35"/>
        <v>668993.3899999503</v>
      </c>
      <c r="L127"/>
      <c r="M127"/>
      <c r="N127"/>
      <c r="O127"/>
      <c r="P127"/>
      <c r="Q127"/>
      <c r="R127"/>
      <c r="S127"/>
      <c r="T127"/>
      <c r="U127"/>
      <c r="W127" s="139">
        <v>122</v>
      </c>
      <c r="X127" s="118">
        <f t="shared" si="30"/>
        <v>802792.09999995027</v>
      </c>
      <c r="Y127" s="115">
        <f t="shared" si="32"/>
        <v>2027</v>
      </c>
      <c r="Z127" s="142">
        <f>EOMONTH(Założenia_kredyty!$D$5,W127)</f>
        <v>46599</v>
      </c>
      <c r="AA127" s="141">
        <f>HLOOKUP(Y127,Założenia!$I$5:$U$11,7,0)</f>
        <v>0</v>
      </c>
      <c r="AB127" s="143">
        <f t="shared" si="31"/>
        <v>4568</v>
      </c>
      <c r="AC127" s="118">
        <f t="shared" si="24"/>
        <v>133798.71</v>
      </c>
      <c r="AD127" s="118">
        <f t="shared" si="25"/>
        <v>4568</v>
      </c>
      <c r="AE127" s="118">
        <f t="shared" si="26"/>
        <v>138366.71</v>
      </c>
      <c r="AF127" s="118">
        <f t="shared" si="27"/>
        <v>668993.3899999503</v>
      </c>
    </row>
    <row r="128" spans="1:32">
      <c r="A128" s="139">
        <v>123</v>
      </c>
      <c r="B128" s="118">
        <f t="shared" si="38"/>
        <v>668993.3899999503</v>
      </c>
      <c r="C128" s="115">
        <f t="shared" si="34"/>
        <v>2027</v>
      </c>
      <c r="D128" s="142">
        <f>EOMONTH(Założenia_kredyty!$D$5,A128)</f>
        <v>46630</v>
      </c>
      <c r="E128" s="141">
        <f>HLOOKUP(C128,Założenia!$I$5:$U$11,6,0)+Założenia_kredyty!$D$11</f>
        <v>6.7000000000000004E-2</v>
      </c>
      <c r="F128" s="143">
        <f t="shared" si="36"/>
        <v>3807</v>
      </c>
      <c r="G128" s="118">
        <f>IF(D128&gt;=Założenia_kredyty!$D$6,IF(B128&gt;=Założenia_kredyty!$D$7,Założenia_kredyty!$D$7,B128),0)</f>
        <v>133798.71</v>
      </c>
      <c r="H128" s="118">
        <f>IF(Założenia_kredyty!$D$9="TAK",IF(D128=Założenia_kredyty!$D$6,SUM(Obliczenia_kredyty!F$5:F128),IF(D128&lt;Założenia_kredyty!$D$6,0,F128)),F128)</f>
        <v>3807</v>
      </c>
      <c r="I128" s="118">
        <f t="shared" si="37"/>
        <v>137605.71</v>
      </c>
      <c r="J128" s="118">
        <f t="shared" si="35"/>
        <v>535194.67999995034</v>
      </c>
      <c r="L128"/>
      <c r="M128"/>
      <c r="N128"/>
      <c r="O128"/>
      <c r="P128"/>
      <c r="Q128"/>
      <c r="R128"/>
      <c r="S128"/>
      <c r="T128"/>
      <c r="U128"/>
      <c r="W128" s="139">
        <v>123</v>
      </c>
      <c r="X128" s="118">
        <f t="shared" si="30"/>
        <v>668993.3899999503</v>
      </c>
      <c r="Y128" s="115">
        <f t="shared" si="32"/>
        <v>2027</v>
      </c>
      <c r="Z128" s="142">
        <f>EOMONTH(Założenia_kredyty!$D$5,W128)</f>
        <v>46630</v>
      </c>
      <c r="AA128" s="141">
        <f>HLOOKUP(Y128,Założenia!$I$5:$U$11,7,0)</f>
        <v>0</v>
      </c>
      <c r="AB128" s="143">
        <f t="shared" si="31"/>
        <v>3807</v>
      </c>
      <c r="AC128" s="118">
        <f t="shared" si="24"/>
        <v>133798.71</v>
      </c>
      <c r="AD128" s="118">
        <f t="shared" si="25"/>
        <v>3807</v>
      </c>
      <c r="AE128" s="118">
        <f t="shared" si="26"/>
        <v>137605.71</v>
      </c>
      <c r="AF128" s="118">
        <f t="shared" si="27"/>
        <v>535194.67999995034</v>
      </c>
    </row>
    <row r="129" spans="1:32">
      <c r="A129" s="139">
        <v>124</v>
      </c>
      <c r="B129" s="118">
        <f t="shared" si="38"/>
        <v>535194.67999995034</v>
      </c>
      <c r="C129" s="115">
        <f t="shared" si="34"/>
        <v>2027</v>
      </c>
      <c r="D129" s="142">
        <f>EOMONTH(Założenia_kredyty!$D$5,A129)</f>
        <v>46660</v>
      </c>
      <c r="E129" s="141">
        <f>HLOOKUP(C129,Założenia!$I$5:$U$11,6,0)+Założenia_kredyty!$D$11</f>
        <v>6.7000000000000004E-2</v>
      </c>
      <c r="F129" s="143">
        <f t="shared" si="36"/>
        <v>2947</v>
      </c>
      <c r="G129" s="118">
        <f>IF(D129&gt;=Założenia_kredyty!$D$6,IF(B129&gt;=Założenia_kredyty!$D$7,Założenia_kredyty!$D$7,B129),0)</f>
        <v>133798.71</v>
      </c>
      <c r="H129" s="118">
        <f>IF(Założenia_kredyty!$D$9="TAK",IF(D129=Założenia_kredyty!$D$6,SUM(Obliczenia_kredyty!F$5:F129),IF(D129&lt;Założenia_kredyty!$D$6,0,F129)),F129)</f>
        <v>2947</v>
      </c>
      <c r="I129" s="118">
        <f t="shared" si="37"/>
        <v>136745.71</v>
      </c>
      <c r="J129" s="118">
        <f t="shared" si="35"/>
        <v>401395.96999995038</v>
      </c>
      <c r="L129"/>
      <c r="M129"/>
      <c r="N129"/>
      <c r="O129"/>
      <c r="P129"/>
      <c r="Q129"/>
      <c r="R129"/>
      <c r="S129"/>
      <c r="T129"/>
      <c r="U129"/>
      <c r="W129" s="139">
        <v>124</v>
      </c>
      <c r="X129" s="118">
        <f t="shared" si="30"/>
        <v>535194.67999995034</v>
      </c>
      <c r="Y129" s="115">
        <f t="shared" si="32"/>
        <v>2027</v>
      </c>
      <c r="Z129" s="142">
        <f>EOMONTH(Założenia_kredyty!$D$5,W129)</f>
        <v>46660</v>
      </c>
      <c r="AA129" s="141">
        <f>HLOOKUP(Y129,Założenia!$I$5:$U$11,7,0)</f>
        <v>0</v>
      </c>
      <c r="AB129" s="143">
        <f t="shared" si="31"/>
        <v>2947</v>
      </c>
      <c r="AC129" s="118">
        <f t="shared" si="24"/>
        <v>133798.71</v>
      </c>
      <c r="AD129" s="118">
        <f t="shared" si="25"/>
        <v>2947</v>
      </c>
      <c r="AE129" s="118">
        <f t="shared" si="26"/>
        <v>136745.71</v>
      </c>
      <c r="AF129" s="118">
        <f t="shared" si="27"/>
        <v>401395.96999995038</v>
      </c>
    </row>
    <row r="130" spans="1:32">
      <c r="A130" s="139">
        <v>125</v>
      </c>
      <c r="B130" s="118">
        <f t="shared" si="38"/>
        <v>401395.96999995038</v>
      </c>
      <c r="C130" s="115">
        <f t="shared" si="34"/>
        <v>2027</v>
      </c>
      <c r="D130" s="142">
        <f>EOMONTH(Założenia_kredyty!$D$5,A130)</f>
        <v>46691</v>
      </c>
      <c r="E130" s="141">
        <f>HLOOKUP(C130,Założenia!$I$5:$U$11,6,0)+Założenia_kredyty!$D$11</f>
        <v>6.7000000000000004E-2</v>
      </c>
      <c r="F130" s="143">
        <f t="shared" si="36"/>
        <v>2284</v>
      </c>
      <c r="G130" s="118">
        <f>IF(D130&gt;=Założenia_kredyty!$D$6,IF(B130&gt;=Założenia_kredyty!$D$7,Założenia_kredyty!$D$7,B130),0)</f>
        <v>133798.71</v>
      </c>
      <c r="H130" s="118">
        <f>IF(Założenia_kredyty!$D$9="TAK",IF(D130=Założenia_kredyty!$D$6,SUM(Obliczenia_kredyty!F$5:F130),IF(D130&lt;Założenia_kredyty!$D$6,0,F130)),F130)</f>
        <v>2284</v>
      </c>
      <c r="I130" s="118">
        <f t="shared" si="37"/>
        <v>136082.71</v>
      </c>
      <c r="J130" s="118">
        <f t="shared" si="35"/>
        <v>267597.25999995042</v>
      </c>
      <c r="L130"/>
      <c r="M130"/>
      <c r="N130"/>
      <c r="O130"/>
      <c r="P130"/>
      <c r="Q130"/>
      <c r="R130"/>
      <c r="S130"/>
      <c r="T130"/>
      <c r="U130"/>
      <c r="W130" s="139">
        <v>125</v>
      </c>
      <c r="X130" s="118">
        <f t="shared" si="30"/>
        <v>401395.96999995038</v>
      </c>
      <c r="Y130" s="115">
        <f t="shared" si="32"/>
        <v>2027</v>
      </c>
      <c r="Z130" s="142">
        <f>EOMONTH(Założenia_kredyty!$D$5,W130)</f>
        <v>46691</v>
      </c>
      <c r="AA130" s="141">
        <f>HLOOKUP(Y130,Założenia!$I$5:$U$11,7,0)</f>
        <v>0</v>
      </c>
      <c r="AB130" s="143">
        <f t="shared" si="31"/>
        <v>2284</v>
      </c>
      <c r="AC130" s="118">
        <f t="shared" si="24"/>
        <v>133798.71</v>
      </c>
      <c r="AD130" s="118">
        <f t="shared" si="25"/>
        <v>2284</v>
      </c>
      <c r="AE130" s="118">
        <f t="shared" si="26"/>
        <v>136082.71</v>
      </c>
      <c r="AF130" s="118">
        <f t="shared" si="27"/>
        <v>267597.25999995042</v>
      </c>
    </row>
    <row r="131" spans="1:32">
      <c r="A131" s="139">
        <v>126</v>
      </c>
      <c r="B131" s="118">
        <f t="shared" si="38"/>
        <v>267597.25999995042</v>
      </c>
      <c r="C131" s="115">
        <f t="shared" si="34"/>
        <v>2027</v>
      </c>
      <c r="D131" s="142">
        <f>EOMONTH(Założenia_kredyty!$D$5,A131)</f>
        <v>46721</v>
      </c>
      <c r="E131" s="141">
        <f>HLOOKUP(C131,Założenia!$I$5:$U$11,6,0)+Założenia_kredyty!$D$11</f>
        <v>6.7000000000000004E-2</v>
      </c>
      <c r="F131" s="143">
        <f t="shared" si="36"/>
        <v>1474</v>
      </c>
      <c r="G131" s="118">
        <f>IF(D131&gt;=Założenia_kredyty!$D$6,IF(B131&gt;=Założenia_kredyty!$D$7,Założenia_kredyty!$D$7,B131),0)</f>
        <v>133798.71</v>
      </c>
      <c r="H131" s="118">
        <f>IF(Założenia_kredyty!$D$9="TAK",IF(D131=Założenia_kredyty!$D$6,SUM(Obliczenia_kredyty!F$5:F131),IF(D131&lt;Założenia_kredyty!$D$6,0,F131)),F131)</f>
        <v>1474</v>
      </c>
      <c r="I131" s="118">
        <f t="shared" si="37"/>
        <v>135272.71</v>
      </c>
      <c r="J131" s="118">
        <f t="shared" si="35"/>
        <v>133798.54999995042</v>
      </c>
      <c r="L131"/>
      <c r="M131"/>
      <c r="N131"/>
      <c r="O131"/>
      <c r="P131"/>
      <c r="Q131"/>
      <c r="R131"/>
      <c r="S131"/>
      <c r="T131"/>
      <c r="U131"/>
      <c r="W131" s="139">
        <v>126</v>
      </c>
      <c r="X131" s="118">
        <f t="shared" si="30"/>
        <v>267597.25999995042</v>
      </c>
      <c r="Y131" s="115">
        <f t="shared" si="32"/>
        <v>2027</v>
      </c>
      <c r="Z131" s="142">
        <f>EOMONTH(Założenia_kredyty!$D$5,W131)</f>
        <v>46721</v>
      </c>
      <c r="AA131" s="141">
        <f>HLOOKUP(Y131,Założenia!$I$5:$U$11,7,0)</f>
        <v>0</v>
      </c>
      <c r="AB131" s="143">
        <f t="shared" si="31"/>
        <v>1474</v>
      </c>
      <c r="AC131" s="118">
        <f t="shared" si="24"/>
        <v>133798.71</v>
      </c>
      <c r="AD131" s="118">
        <f t="shared" si="25"/>
        <v>1474</v>
      </c>
      <c r="AE131" s="118">
        <f t="shared" si="26"/>
        <v>135272.71</v>
      </c>
      <c r="AF131" s="118">
        <f t="shared" si="27"/>
        <v>133798.54999995042</v>
      </c>
    </row>
    <row r="132" spans="1:32">
      <c r="A132" s="139">
        <v>127</v>
      </c>
      <c r="B132" s="118">
        <f t="shared" si="38"/>
        <v>133798.54999995042</v>
      </c>
      <c r="C132" s="115">
        <f t="shared" si="34"/>
        <v>2027</v>
      </c>
      <c r="D132" s="142">
        <f>EOMONTH(Założenia_kredyty!$D$5,A132)</f>
        <v>46752</v>
      </c>
      <c r="E132" s="141">
        <f>HLOOKUP(C132,Założenia!$I$5:$U$11,6,0)+Założenia_kredyty!$D$11</f>
        <v>6.7000000000000004E-2</v>
      </c>
      <c r="F132" s="143">
        <f t="shared" si="36"/>
        <v>761</v>
      </c>
      <c r="G132" s="118">
        <f>IF(D132&gt;=Założenia_kredyty!$D$6,IF(B132&gt;=Założenia_kredyty!$D$7,Założenia_kredyty!$D$7,B132),0)</f>
        <v>133798.54999995042</v>
      </c>
      <c r="H132" s="118">
        <f>IF(Założenia_kredyty!$D$9="TAK",IF(D132=Założenia_kredyty!$D$6,SUM(Obliczenia_kredyty!F$5:F132),IF(D132&lt;Założenia_kredyty!$D$6,0,F132)),F132)</f>
        <v>761</v>
      </c>
      <c r="I132" s="118">
        <f t="shared" si="37"/>
        <v>134559.54999995042</v>
      </c>
      <c r="J132" s="118">
        <f t="shared" si="35"/>
        <v>0</v>
      </c>
      <c r="L132"/>
      <c r="M132"/>
      <c r="N132"/>
      <c r="O132"/>
      <c r="P132"/>
      <c r="Q132"/>
      <c r="R132"/>
      <c r="S132"/>
      <c r="T132"/>
      <c r="U132"/>
      <c r="W132" s="139">
        <v>127</v>
      </c>
      <c r="X132" s="118">
        <f t="shared" si="30"/>
        <v>133798.54999995042</v>
      </c>
      <c r="Y132" s="115">
        <f t="shared" si="32"/>
        <v>2027</v>
      </c>
      <c r="Z132" s="142">
        <f>EOMONTH(Założenia_kredyty!$D$5,W132)</f>
        <v>46752</v>
      </c>
      <c r="AA132" s="141">
        <f>HLOOKUP(Y132,Założenia!$I$5:$U$11,7,0)</f>
        <v>0</v>
      </c>
      <c r="AB132" s="143">
        <f t="shared" si="31"/>
        <v>761</v>
      </c>
      <c r="AC132" s="118">
        <f t="shared" si="24"/>
        <v>133798.54999995042</v>
      </c>
      <c r="AD132" s="118">
        <f t="shared" si="25"/>
        <v>761</v>
      </c>
      <c r="AE132" s="118">
        <f t="shared" si="26"/>
        <v>134559.54999995042</v>
      </c>
      <c r="AF132" s="118">
        <f t="shared" si="27"/>
        <v>0</v>
      </c>
    </row>
  </sheetData>
  <mergeCells count="18">
    <mergeCell ref="Q2:Q3"/>
    <mergeCell ref="L2:L3"/>
    <mergeCell ref="M2:M3"/>
    <mergeCell ref="N2:N3"/>
    <mergeCell ref="O2:O3"/>
    <mergeCell ref="P2:P3"/>
    <mergeCell ref="F2:F3"/>
    <mergeCell ref="C2:C3"/>
    <mergeCell ref="B2:B3"/>
    <mergeCell ref="E2:E3"/>
    <mergeCell ref="A2:A3"/>
    <mergeCell ref="D2:D3"/>
    <mergeCell ref="AB2:AB3"/>
    <mergeCell ref="W2:W3"/>
    <mergeCell ref="X2:X3"/>
    <mergeCell ref="Y2:Y3"/>
    <mergeCell ref="Z2:Z3"/>
    <mergeCell ref="AA2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U51"/>
  <sheetViews>
    <sheetView showGridLines="0" topLeftCell="B1" workbookViewId="0">
      <pane ySplit="3" topLeftCell="A28" activePane="bottomLeft" state="frozen"/>
      <selection activeCell="K14" sqref="K14"/>
      <selection pane="bottomLeft" activeCell="J57" sqref="J57"/>
    </sheetView>
  </sheetViews>
  <sheetFormatPr defaultRowHeight="13.8"/>
  <cols>
    <col min="1" max="1" width="2.69921875" bestFit="1" customWidth="1"/>
    <col min="2" max="2" width="42.5" bestFit="1" customWidth="1"/>
    <col min="10" max="10" width="11.3984375" bestFit="1" customWidth="1"/>
  </cols>
  <sheetData>
    <row r="2" spans="1:21">
      <c r="A2" s="18"/>
      <c r="B2" s="34" t="s">
        <v>294</v>
      </c>
      <c r="C2" s="34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>
      <c r="A3" s="30" t="s">
        <v>0</v>
      </c>
      <c r="B3" s="31" t="s">
        <v>4</v>
      </c>
      <c r="C3" s="31"/>
      <c r="D3" s="31" t="s">
        <v>181</v>
      </c>
      <c r="E3" s="31">
        <f>Obliczenia!E1</f>
        <v>2012</v>
      </c>
      <c r="F3" s="31">
        <f>Obliczenia!F1</f>
        <v>2013</v>
      </c>
      <c r="G3" s="31">
        <f>Obliczenia!G1</f>
        <v>2014</v>
      </c>
      <c r="H3" s="31">
        <f>Obliczenia!H1</f>
        <v>2015</v>
      </c>
      <c r="I3" s="31">
        <f>Obliczenia!I1</f>
        <v>2016</v>
      </c>
      <c r="J3" s="31">
        <f>Obliczenia!J1</f>
        <v>2017</v>
      </c>
      <c r="K3" s="31">
        <f>Obliczenia!K1</f>
        <v>2018</v>
      </c>
      <c r="L3" s="31">
        <f>Obliczenia!L1</f>
        <v>2019</v>
      </c>
      <c r="M3" s="31">
        <f>Obliczenia!M1</f>
        <v>2020</v>
      </c>
      <c r="N3" s="31">
        <f>Obliczenia!N1</f>
        <v>2021</v>
      </c>
      <c r="O3" s="31">
        <f>Obliczenia!O1</f>
        <v>2022</v>
      </c>
      <c r="P3" s="31">
        <f>Obliczenia!P1</f>
        <v>2023</v>
      </c>
      <c r="Q3" s="31">
        <f>Obliczenia!Q1</f>
        <v>2024</v>
      </c>
      <c r="R3" s="31">
        <f>Obliczenia!R1</f>
        <v>2025</v>
      </c>
      <c r="S3" s="31">
        <f>Obliczenia!S1</f>
        <v>2026</v>
      </c>
      <c r="T3" s="31">
        <f>Obliczenia!T1</f>
        <v>2027</v>
      </c>
      <c r="U3" s="31">
        <f>Obliczenia!U1</f>
        <v>2028</v>
      </c>
    </row>
    <row r="4" spans="1:21">
      <c r="A4" s="56"/>
      <c r="B4" s="55"/>
      <c r="C4" s="55"/>
      <c r="D4" s="5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>
      <c r="A5" s="58" t="s">
        <v>6</v>
      </c>
      <c r="B5" s="296" t="s">
        <v>191</v>
      </c>
      <c r="C5" s="297"/>
      <c r="D5" s="29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56"/>
      <c r="B6" s="55"/>
      <c r="C6" s="55"/>
      <c r="D6" s="5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>
      <c r="A7" s="56"/>
      <c r="B7" s="55" t="s">
        <v>192</v>
      </c>
      <c r="C7" s="55"/>
      <c r="D7" s="57" t="s">
        <v>16</v>
      </c>
      <c r="E7" s="55"/>
      <c r="F7" s="55"/>
      <c r="G7" s="59"/>
      <c r="H7" s="89">
        <f>Założenia!H301</f>
        <v>0</v>
      </c>
      <c r="I7" s="89">
        <f>Założenia!I301</f>
        <v>3088650.83</v>
      </c>
      <c r="J7" s="89">
        <f>Założenia!J301</f>
        <v>2554650.83</v>
      </c>
      <c r="K7" s="89">
        <f>Założenia!K301</f>
        <v>1170926.79</v>
      </c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>
      <c r="A8" s="56"/>
      <c r="B8" s="55" t="s">
        <v>193</v>
      </c>
      <c r="C8" s="55"/>
      <c r="D8" s="57" t="s">
        <v>16</v>
      </c>
      <c r="E8" s="55"/>
      <c r="F8" s="55"/>
      <c r="G8" s="55"/>
      <c r="H8" s="89">
        <f>Założenia!H302</f>
        <v>0</v>
      </c>
      <c r="I8" s="89">
        <f>Założenia!I302</f>
        <v>0</v>
      </c>
      <c r="J8" s="89">
        <f>Założenia!J302</f>
        <v>0</v>
      </c>
      <c r="K8" s="89">
        <f>Założenia!K302</f>
        <v>0</v>
      </c>
      <c r="L8" s="89">
        <f>Założenia_kredyty!L32</f>
        <v>0</v>
      </c>
      <c r="M8" s="89">
        <f>Założenia_kredyty!M32</f>
        <v>0</v>
      </c>
      <c r="N8" s="89">
        <f>Założenia_kredyty!N32</f>
        <v>0</v>
      </c>
      <c r="O8" s="89">
        <f>Założenia_kredyty!O32</f>
        <v>0</v>
      </c>
      <c r="P8" s="89">
        <f>Założenia_kredyty!P32</f>
        <v>0</v>
      </c>
      <c r="Q8" s="89">
        <f>Założenia_kredyty!Q32</f>
        <v>0</v>
      </c>
      <c r="R8" s="89">
        <f>Założenia_kredyty!R32</f>
        <v>0</v>
      </c>
      <c r="S8" s="89">
        <f>Założenia_kredyty!S32</f>
        <v>0</v>
      </c>
      <c r="T8" s="89">
        <f>Założenia_kredyty!T32</f>
        <v>0</v>
      </c>
      <c r="U8" s="89">
        <f>Założenia_kredyty!U32</f>
        <v>0</v>
      </c>
    </row>
    <row r="9" spans="1:21">
      <c r="A9" s="56"/>
      <c r="B9" s="55" t="s">
        <v>194</v>
      </c>
      <c r="C9" s="55"/>
      <c r="D9" s="57" t="s">
        <v>16</v>
      </c>
      <c r="E9" s="55"/>
      <c r="F9" s="55"/>
      <c r="G9" s="59"/>
      <c r="H9" s="89">
        <f>Założenia!H303</f>
        <v>0</v>
      </c>
      <c r="I9" s="89">
        <f>Założenia!I303</f>
        <v>534000</v>
      </c>
      <c r="J9" s="89">
        <f>Założenia!J303</f>
        <v>1383724.04</v>
      </c>
      <c r="K9" s="89">
        <f>Założenia!K303</f>
        <v>1170926.79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</row>
    <row r="10" spans="1:21">
      <c r="A10" s="56"/>
      <c r="B10" s="55" t="s">
        <v>195</v>
      </c>
      <c r="C10" s="55"/>
      <c r="D10" s="57" t="s">
        <v>16</v>
      </c>
      <c r="E10" s="55"/>
      <c r="F10" s="55"/>
      <c r="G10" s="59"/>
      <c r="H10" s="89">
        <f>Założenia!H304</f>
        <v>3088650.83</v>
      </c>
      <c r="I10" s="89">
        <f>Założenia!I304</f>
        <v>2554650.83</v>
      </c>
      <c r="J10" s="89">
        <f>Założenia!J304</f>
        <v>1170926.79</v>
      </c>
      <c r="K10" s="89">
        <f>Założenia!K304</f>
        <v>0</v>
      </c>
      <c r="L10" s="89">
        <f t="shared" ref="L10:U10" si="0">K10+L8-L9</f>
        <v>0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0</v>
      </c>
      <c r="S10" s="89">
        <f t="shared" si="0"/>
        <v>0</v>
      </c>
      <c r="T10" s="89">
        <f t="shared" si="0"/>
        <v>0</v>
      </c>
      <c r="U10" s="89">
        <f t="shared" si="0"/>
        <v>0</v>
      </c>
    </row>
    <row r="11" spans="1:21">
      <c r="A11" s="56"/>
      <c r="B11" s="55" t="s">
        <v>196</v>
      </c>
      <c r="C11" s="55"/>
      <c r="D11" s="57" t="s">
        <v>16</v>
      </c>
      <c r="E11" s="55"/>
      <c r="F11" s="55"/>
      <c r="G11" s="55"/>
      <c r="H11" s="89">
        <f>Założenia!H305</f>
        <v>0</v>
      </c>
      <c r="I11" s="89">
        <f>Założenia!I305</f>
        <v>13546.64</v>
      </c>
      <c r="J11" s="89">
        <f>Założenia!J305</f>
        <v>4546.2</v>
      </c>
      <c r="K11" s="89">
        <f>Założenia!K305</f>
        <v>0</v>
      </c>
      <c r="L11" s="89">
        <f t="shared" ref="L11:U11" si="1">ROUND(L10*L13,0)</f>
        <v>0</v>
      </c>
      <c r="M11" s="89">
        <f t="shared" si="1"/>
        <v>0</v>
      </c>
      <c r="N11" s="89">
        <f t="shared" si="1"/>
        <v>0</v>
      </c>
      <c r="O11" s="89">
        <f t="shared" si="1"/>
        <v>0</v>
      </c>
      <c r="P11" s="89">
        <f t="shared" si="1"/>
        <v>0</v>
      </c>
      <c r="Q11" s="89">
        <f t="shared" si="1"/>
        <v>0</v>
      </c>
      <c r="R11" s="89">
        <f t="shared" si="1"/>
        <v>0</v>
      </c>
      <c r="S11" s="89">
        <f t="shared" si="1"/>
        <v>0</v>
      </c>
      <c r="T11" s="89">
        <f t="shared" si="1"/>
        <v>0</v>
      </c>
      <c r="U11" s="89">
        <f t="shared" si="1"/>
        <v>0</v>
      </c>
    </row>
    <row r="12" spans="1:21">
      <c r="A12" s="56"/>
      <c r="B12" s="55"/>
      <c r="C12" s="55"/>
      <c r="D12" s="57"/>
      <c r="E12" s="55"/>
      <c r="F12" s="55"/>
      <c r="G12" s="5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>
      <c r="A13" s="56"/>
      <c r="B13" s="55" t="s">
        <v>197</v>
      </c>
      <c r="C13" s="55"/>
      <c r="D13" s="57" t="s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>
      <c r="A14" s="42"/>
      <c r="B14" s="43"/>
      <c r="C14" s="43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>
      <c r="A15" s="58" t="s">
        <v>138</v>
      </c>
      <c r="B15" s="296" t="s">
        <v>258</v>
      </c>
      <c r="C15" s="297"/>
      <c r="D15" s="29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>
      <c r="A16" s="56"/>
      <c r="B16" s="55"/>
      <c r="C16" s="55"/>
      <c r="D16" s="61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>
      <c r="A17" s="56"/>
      <c r="B17" s="55" t="s">
        <v>192</v>
      </c>
      <c r="C17" s="55"/>
      <c r="D17" s="61" t="s">
        <v>16</v>
      </c>
      <c r="E17" s="55"/>
      <c r="F17" s="55"/>
      <c r="G17" s="59"/>
      <c r="H17" s="89">
        <v>0</v>
      </c>
      <c r="I17" s="89">
        <f>H20</f>
        <v>0</v>
      </c>
      <c r="J17" s="89">
        <f>I20</f>
        <v>0</v>
      </c>
      <c r="K17" s="89">
        <f t="shared" ref="K17:U17" si="2">J20</f>
        <v>16055845.039999999</v>
      </c>
      <c r="L17" s="89">
        <f t="shared" si="2"/>
        <v>14450260.52</v>
      </c>
      <c r="M17" s="89">
        <f t="shared" si="2"/>
        <v>12844676</v>
      </c>
      <c r="N17" s="89">
        <f t="shared" si="2"/>
        <v>11239091.48</v>
      </c>
      <c r="O17" s="89">
        <f t="shared" si="2"/>
        <v>9633506.9600000009</v>
      </c>
      <c r="P17" s="89">
        <f t="shared" si="2"/>
        <v>8027922.4400000013</v>
      </c>
      <c r="Q17" s="89">
        <f t="shared" si="2"/>
        <v>6422337.9200000018</v>
      </c>
      <c r="R17" s="89">
        <f t="shared" si="2"/>
        <v>4816753.4000000022</v>
      </c>
      <c r="S17" s="89">
        <f t="shared" si="2"/>
        <v>3211168.8800000027</v>
      </c>
      <c r="T17" s="89">
        <f t="shared" si="2"/>
        <v>1605584.3600000029</v>
      </c>
      <c r="U17" s="89">
        <f t="shared" si="2"/>
        <v>5.2619725465774536E-8</v>
      </c>
    </row>
    <row r="18" spans="1:21">
      <c r="A18" s="56"/>
      <c r="B18" s="55" t="s">
        <v>286</v>
      </c>
      <c r="C18" s="55"/>
      <c r="D18" s="61" t="s">
        <v>16</v>
      </c>
      <c r="E18" s="55"/>
      <c r="F18" s="55"/>
      <c r="G18" s="55"/>
      <c r="H18" s="89">
        <f>Założenia!H17</f>
        <v>0</v>
      </c>
      <c r="I18" s="89">
        <f>Założenia_kredyty!I36</f>
        <v>0</v>
      </c>
      <c r="J18" s="89">
        <f>Założenia_kredyty!J36</f>
        <v>16055845.039999999</v>
      </c>
      <c r="K18" s="89">
        <f>Założenia_kredyty!K36</f>
        <v>0</v>
      </c>
      <c r="L18" s="89">
        <f>Założenia_kredyty!L36</f>
        <v>0</v>
      </c>
      <c r="M18" s="89">
        <f>Założenia_kredyty!M36</f>
        <v>0</v>
      </c>
      <c r="N18" s="89">
        <f>Założenia_kredyty!N36</f>
        <v>0</v>
      </c>
      <c r="O18" s="89">
        <f>Założenia_kredyty!O36</f>
        <v>0</v>
      </c>
      <c r="P18" s="89">
        <f>Założenia_kredyty!P36</f>
        <v>0</v>
      </c>
      <c r="Q18" s="89">
        <f>Założenia_kredyty!Q36</f>
        <v>0</v>
      </c>
      <c r="R18" s="89">
        <f>Założenia_kredyty!R36</f>
        <v>0</v>
      </c>
      <c r="S18" s="89">
        <f>Założenia_kredyty!S36</f>
        <v>0</v>
      </c>
      <c r="T18" s="89">
        <f>Założenia_kredyty!T36</f>
        <v>0</v>
      </c>
      <c r="U18" s="89">
        <f>Założenia_kredyty!U36</f>
        <v>0</v>
      </c>
    </row>
    <row r="19" spans="1:21">
      <c r="A19" s="56"/>
      <c r="B19" s="55" t="s">
        <v>194</v>
      </c>
      <c r="C19" s="55"/>
      <c r="D19" s="61" t="s">
        <v>16</v>
      </c>
      <c r="E19" s="55"/>
      <c r="F19" s="55"/>
      <c r="G19" s="59"/>
      <c r="H19" s="89">
        <f>H29/3</f>
        <v>0</v>
      </c>
      <c r="I19" s="89">
        <f>I29/3</f>
        <v>0</v>
      </c>
      <c r="J19" s="89">
        <f>Obliczenia!J102</f>
        <v>0</v>
      </c>
      <c r="K19" s="89">
        <f>Obliczenia!K102</f>
        <v>1605584.5199999998</v>
      </c>
      <c r="L19" s="89">
        <f>Obliczenia!L102</f>
        <v>1605584.5199999998</v>
      </c>
      <c r="M19" s="89">
        <f>Obliczenia!M102</f>
        <v>1605584.5199999998</v>
      </c>
      <c r="N19" s="89">
        <f>Obliczenia!N102</f>
        <v>1605584.5199999998</v>
      </c>
      <c r="O19" s="89">
        <f>Obliczenia!O102</f>
        <v>1605584.5199999998</v>
      </c>
      <c r="P19" s="89">
        <f>Obliczenia!P102</f>
        <v>1605584.5199999998</v>
      </c>
      <c r="Q19" s="89">
        <f>Obliczenia!Q102</f>
        <v>1605584.5199999998</v>
      </c>
      <c r="R19" s="89">
        <f>Obliczenia!R102</f>
        <v>1605584.5199999998</v>
      </c>
      <c r="S19" s="89">
        <f>Obliczenia!S102</f>
        <v>1605584.5199999998</v>
      </c>
      <c r="T19" s="89">
        <f>Obliczenia!T102</f>
        <v>1605584.3599999503</v>
      </c>
      <c r="U19" s="89">
        <f t="shared" ref="U19" si="3">ROUND(U29/7.5,0)</f>
        <v>0</v>
      </c>
    </row>
    <row r="20" spans="1:21">
      <c r="A20" s="56"/>
      <c r="B20" s="55" t="s">
        <v>195</v>
      </c>
      <c r="C20" s="55"/>
      <c r="D20" s="61" t="s">
        <v>16</v>
      </c>
      <c r="E20" s="55"/>
      <c r="F20" s="55"/>
      <c r="G20" s="59"/>
      <c r="H20" s="89">
        <f>H17+H18-H19</f>
        <v>0</v>
      </c>
      <c r="I20" s="89">
        <f t="shared" ref="I20" si="4">H20+I18-I19</f>
        <v>0</v>
      </c>
      <c r="J20" s="89">
        <f t="shared" ref="J20:U20" si="5">I20+J18-J19</f>
        <v>16055845.039999999</v>
      </c>
      <c r="K20" s="89">
        <f t="shared" si="5"/>
        <v>14450260.52</v>
      </c>
      <c r="L20" s="89">
        <f t="shared" si="5"/>
        <v>12844676</v>
      </c>
      <c r="M20" s="89">
        <f t="shared" si="5"/>
        <v>11239091.48</v>
      </c>
      <c r="N20" s="89">
        <f t="shared" si="5"/>
        <v>9633506.9600000009</v>
      </c>
      <c r="O20" s="89">
        <f t="shared" si="5"/>
        <v>8027922.4400000013</v>
      </c>
      <c r="P20" s="89">
        <f t="shared" si="5"/>
        <v>6422337.9200000018</v>
      </c>
      <c r="Q20" s="89">
        <f t="shared" si="5"/>
        <v>4816753.4000000022</v>
      </c>
      <c r="R20" s="89">
        <f t="shared" si="5"/>
        <v>3211168.8800000027</v>
      </c>
      <c r="S20" s="89">
        <f t="shared" si="5"/>
        <v>1605584.3600000029</v>
      </c>
      <c r="T20" s="89">
        <f t="shared" si="5"/>
        <v>5.2619725465774536E-8</v>
      </c>
      <c r="U20" s="89">
        <f t="shared" si="5"/>
        <v>5.2619725465774536E-8</v>
      </c>
    </row>
    <row r="21" spans="1:21">
      <c r="A21" s="56"/>
      <c r="B21" s="55" t="s">
        <v>196</v>
      </c>
      <c r="C21" s="55"/>
      <c r="D21" s="61" t="s">
        <v>16</v>
      </c>
      <c r="E21" s="55"/>
      <c r="F21" s="55"/>
      <c r="G21" s="55"/>
      <c r="H21" s="89">
        <f>Obliczenia!H101</f>
        <v>0</v>
      </c>
      <c r="I21" s="89">
        <f>Obliczenia!I101</f>
        <v>0</v>
      </c>
      <c r="J21" s="89">
        <f>Obliczenia!J101</f>
        <v>0</v>
      </c>
      <c r="K21" s="89">
        <f>Obliczenia!K101</f>
        <v>732323</v>
      </c>
      <c r="L21" s="89">
        <f>Obliczenia!L101</f>
        <v>548434</v>
      </c>
      <c r="M21" s="89">
        <f>Obliczenia!M101</f>
        <v>588797</v>
      </c>
      <c r="N21" s="89">
        <f>Obliczenia!N101</f>
        <v>577481</v>
      </c>
      <c r="O21" s="89">
        <f>Obliczenia!O101</f>
        <v>595907</v>
      </c>
      <c r="P21" s="89">
        <f>Obliczenia!P101</f>
        <v>488333</v>
      </c>
      <c r="Q21" s="89">
        <f>Obliczenia!Q101</f>
        <v>381913</v>
      </c>
      <c r="R21" s="89">
        <f>Obliczenia!R101</f>
        <v>273185</v>
      </c>
      <c r="S21" s="89">
        <f>Obliczenia!S101</f>
        <v>165610</v>
      </c>
      <c r="T21" s="89">
        <f>Obliczenia!T101</f>
        <v>58036</v>
      </c>
      <c r="U21" s="89">
        <f>Obliczenia!U101</f>
        <v>0</v>
      </c>
    </row>
    <row r="22" spans="1:21">
      <c r="A22" s="56"/>
      <c r="B22" s="55"/>
      <c r="C22" s="55"/>
      <c r="D22" s="61"/>
      <c r="E22" s="55"/>
      <c r="F22" s="55"/>
      <c r="G22" s="55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>
      <c r="A23" s="56"/>
      <c r="B23" s="55" t="s">
        <v>197</v>
      </c>
      <c r="C23" s="55"/>
      <c r="D23" s="61" t="s">
        <v>3</v>
      </c>
      <c r="E23" s="60"/>
      <c r="F23" s="60"/>
      <c r="G23" s="60"/>
      <c r="H23" s="60">
        <f>Założenia!J$10+Założenia_kredyty!$D$11</f>
        <v>3.8100000000000002E-2</v>
      </c>
      <c r="I23" s="60">
        <f>Założenia!K$10+Założenia_kredyty!$D$11</f>
        <v>3.8100000000000002E-2</v>
      </c>
      <c r="J23" s="60">
        <f>Założenia!L$10+Założenia_kredyty!$D$11</f>
        <v>0.04</v>
      </c>
      <c r="K23" s="60">
        <f>Założenia!M$10+Założenia_kredyty!$D$11</f>
        <v>4.8500000000000001E-2</v>
      </c>
      <c r="L23" s="60">
        <f>Założenia!N$10+Założenia_kredyty!$D$11</f>
        <v>5.5000000000000007E-2</v>
      </c>
      <c r="M23" s="60">
        <f>Założenia!O$10+Założenia_kredyty!$D$11</f>
        <v>6.7000000000000004E-2</v>
      </c>
      <c r="N23" s="60">
        <f>Założenia!P$10+Założenia_kredyty!$D$11</f>
        <v>6.7000000000000004E-2</v>
      </c>
      <c r="O23" s="60">
        <f>Założenia!Q$10+Założenia_kredyty!$D$11</f>
        <v>6.7000000000000004E-2</v>
      </c>
      <c r="P23" s="60">
        <f>Założenia!R$10+Założenia_kredyty!$D$11</f>
        <v>6.7000000000000004E-2</v>
      </c>
      <c r="Q23" s="60">
        <f>Założenia!S$10+Założenia_kredyty!$D$11</f>
        <v>6.7000000000000004E-2</v>
      </c>
      <c r="R23" s="60">
        <f>Założenia!T$10+Założenia_kredyty!$D$11</f>
        <v>6.7000000000000004E-2</v>
      </c>
      <c r="S23" s="60">
        <f>Założenia!U$10+Założenia_kredyty!$D$11</f>
        <v>6.7000000000000004E-2</v>
      </c>
      <c r="T23" s="60">
        <f>Założenia!V$10+Założenia_kredyty!$D$11</f>
        <v>0.02</v>
      </c>
      <c r="U23" s="60">
        <f>Założenia!W$10+Założenia_kredyty!$D$11</f>
        <v>0.02</v>
      </c>
    </row>
    <row r="24" spans="1:21">
      <c r="A24" s="42"/>
      <c r="B24" s="43"/>
      <c r="C24" s="43"/>
      <c r="D24" s="6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>
      <c r="A25" s="58" t="s">
        <v>138</v>
      </c>
      <c r="B25" s="296" t="s">
        <v>287</v>
      </c>
      <c r="C25" s="297"/>
      <c r="D25" s="29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>
      <c r="A26" s="56"/>
      <c r="B26" s="55"/>
      <c r="C26" s="55"/>
      <c r="D26" s="6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>
      <c r="A27" s="56"/>
      <c r="B27" s="55" t="s">
        <v>192</v>
      </c>
      <c r="C27" s="55"/>
      <c r="D27" s="61" t="s">
        <v>16</v>
      </c>
      <c r="E27" s="55"/>
      <c r="F27" s="55"/>
      <c r="G27" s="55"/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</row>
    <row r="28" spans="1:21">
      <c r="A28" s="56"/>
      <c r="B28" s="55" t="s">
        <v>193</v>
      </c>
      <c r="C28" s="55"/>
      <c r="D28" s="61" t="s">
        <v>16</v>
      </c>
      <c r="E28" s="55"/>
      <c r="F28" s="55"/>
      <c r="G28" s="55"/>
      <c r="H28" s="89">
        <f>Założenia_kredyty!H40</f>
        <v>0</v>
      </c>
      <c r="I28" s="89">
        <f>Założenia_kredyty!I40</f>
        <v>0</v>
      </c>
      <c r="J28" s="89">
        <f>Założenia_kredyty!J40</f>
        <v>12557557</v>
      </c>
      <c r="K28" s="89">
        <f>Założenia_kredyty!K40</f>
        <v>0</v>
      </c>
      <c r="L28" s="89">
        <f>Założenia_kredyty!L40</f>
        <v>0</v>
      </c>
      <c r="M28" s="89">
        <f>Założenia_kredyty!M40</f>
        <v>0</v>
      </c>
      <c r="N28" s="89">
        <f>Założenia_kredyty!N40</f>
        <v>0</v>
      </c>
      <c r="O28" s="89">
        <f>Założenia_kredyty!O40</f>
        <v>0</v>
      </c>
      <c r="P28" s="89">
        <f>Założenia_kredyty!P40</f>
        <v>0</v>
      </c>
      <c r="Q28" s="89">
        <f>Założenia_kredyty!Q40</f>
        <v>0</v>
      </c>
      <c r="R28" s="89">
        <f>Założenia_kredyty!R40</f>
        <v>0</v>
      </c>
      <c r="S28" s="89">
        <f>Założenia_kredyty!S40</f>
        <v>0</v>
      </c>
      <c r="T28" s="89">
        <f>Założenia_kredyty!T40</f>
        <v>0</v>
      </c>
      <c r="U28" s="89">
        <f>Założenia_kredyty!U40</f>
        <v>0</v>
      </c>
    </row>
    <row r="29" spans="1:21">
      <c r="A29" s="56"/>
      <c r="B29" s="55" t="s">
        <v>194</v>
      </c>
      <c r="C29" s="55"/>
      <c r="D29" s="61" t="s">
        <v>16</v>
      </c>
      <c r="E29" s="55"/>
      <c r="F29" s="55"/>
      <c r="G29" s="55"/>
      <c r="H29" s="89">
        <v>0</v>
      </c>
      <c r="I29" s="89">
        <f>Obliczenia!I102</f>
        <v>0</v>
      </c>
      <c r="J29" s="89">
        <f>Obliczenia!J109</f>
        <v>8705632</v>
      </c>
      <c r="K29" s="89">
        <f>Obliczenia!K109</f>
        <v>3851925</v>
      </c>
      <c r="L29" s="89">
        <f>Obliczenia!L109</f>
        <v>0</v>
      </c>
      <c r="M29" s="89">
        <f>Obliczenia!M109</f>
        <v>0</v>
      </c>
      <c r="N29" s="89">
        <f>Obliczenia!N109</f>
        <v>0</v>
      </c>
      <c r="O29" s="89">
        <f>Obliczenia!O109</f>
        <v>0</v>
      </c>
      <c r="P29" s="89">
        <f>Obliczenia!P109</f>
        <v>0</v>
      </c>
      <c r="Q29" s="89">
        <f>Obliczenia!Q109</f>
        <v>0</v>
      </c>
      <c r="R29" s="89">
        <f>Obliczenia!R109</f>
        <v>0</v>
      </c>
      <c r="S29" s="89">
        <f>Obliczenia!S109</f>
        <v>0</v>
      </c>
      <c r="T29" s="89">
        <f>Obliczenia!T109</f>
        <v>0</v>
      </c>
      <c r="U29" s="89">
        <f>Obliczenia!U102</f>
        <v>0</v>
      </c>
    </row>
    <row r="30" spans="1:21">
      <c r="A30" s="56"/>
      <c r="B30" s="55" t="s">
        <v>195</v>
      </c>
      <c r="C30" s="55"/>
      <c r="D30" s="61" t="s">
        <v>16</v>
      </c>
      <c r="E30" s="55"/>
      <c r="F30" s="55"/>
      <c r="G30" s="55"/>
      <c r="H30" s="89">
        <v>0</v>
      </c>
      <c r="I30" s="89">
        <f t="shared" ref="I30:U30" si="6">H30+I28-I29</f>
        <v>0</v>
      </c>
      <c r="J30" s="89">
        <f t="shared" si="6"/>
        <v>3851925</v>
      </c>
      <c r="K30" s="89">
        <f t="shared" si="6"/>
        <v>0</v>
      </c>
      <c r="L30" s="89">
        <f t="shared" si="6"/>
        <v>0</v>
      </c>
      <c r="M30" s="89">
        <f t="shared" si="6"/>
        <v>0</v>
      </c>
      <c r="N30" s="89">
        <f t="shared" si="6"/>
        <v>0</v>
      </c>
      <c r="O30" s="89">
        <f t="shared" si="6"/>
        <v>0</v>
      </c>
      <c r="P30" s="89">
        <f t="shared" si="6"/>
        <v>0</v>
      </c>
      <c r="Q30" s="89">
        <f t="shared" si="6"/>
        <v>0</v>
      </c>
      <c r="R30" s="89">
        <f t="shared" si="6"/>
        <v>0</v>
      </c>
      <c r="S30" s="89">
        <f t="shared" si="6"/>
        <v>0</v>
      </c>
      <c r="T30" s="89">
        <f t="shared" si="6"/>
        <v>0</v>
      </c>
      <c r="U30" s="89">
        <f t="shared" si="6"/>
        <v>0</v>
      </c>
    </row>
    <row r="31" spans="1:21">
      <c r="A31" s="56"/>
      <c r="B31" s="55" t="s">
        <v>196</v>
      </c>
      <c r="C31" s="55"/>
      <c r="D31" s="61" t="s">
        <v>16</v>
      </c>
      <c r="E31" s="55"/>
      <c r="F31" s="55"/>
      <c r="G31" s="55"/>
      <c r="H31" s="89">
        <f>Obliczenia!H108</f>
        <v>0</v>
      </c>
      <c r="I31" s="89">
        <f>Obliczenia!I108</f>
        <v>0</v>
      </c>
      <c r="J31" s="89">
        <f>Obliczenia!J108</f>
        <v>67410</v>
      </c>
      <c r="K31" s="89">
        <f>Obliczenia!K108</f>
        <v>13679</v>
      </c>
      <c r="L31" s="89">
        <f>Obliczenia!L108</f>
        <v>0</v>
      </c>
      <c r="M31" s="89">
        <f>Obliczenia!M108</f>
        <v>0</v>
      </c>
      <c r="N31" s="89">
        <f>Obliczenia!N108</f>
        <v>0</v>
      </c>
      <c r="O31" s="89">
        <f>Obliczenia!O108</f>
        <v>0</v>
      </c>
      <c r="P31" s="89">
        <f>Obliczenia!P108</f>
        <v>0</v>
      </c>
      <c r="Q31" s="89">
        <f>Obliczenia!Q108</f>
        <v>0</v>
      </c>
      <c r="R31" s="89">
        <f>Obliczenia!R108</f>
        <v>0</v>
      </c>
      <c r="S31" s="89">
        <f>Obliczenia!S108</f>
        <v>0</v>
      </c>
      <c r="T31" s="89">
        <f>Obliczenia!T108</f>
        <v>0</v>
      </c>
      <c r="U31" s="89">
        <f>Obliczenia!U108</f>
        <v>0</v>
      </c>
    </row>
    <row r="32" spans="1:21">
      <c r="A32" s="56"/>
      <c r="B32" s="55"/>
      <c r="C32" s="55"/>
      <c r="D32" s="6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>
      <c r="A33" s="56"/>
      <c r="B33" s="55" t="s">
        <v>197</v>
      </c>
      <c r="C33" s="55"/>
      <c r="D33" s="61" t="s">
        <v>3</v>
      </c>
      <c r="E33" s="60"/>
      <c r="F33" s="60"/>
      <c r="G33" s="60"/>
      <c r="H33" s="60">
        <f>Założenia!J$10+Założenia_kredyty!$H$11</f>
        <v>3.8100000000000002E-2</v>
      </c>
      <c r="I33" s="60">
        <f>Założenia!K$10+Założenia_kredyty!$H$11</f>
        <v>3.8100000000000002E-2</v>
      </c>
      <c r="J33" s="60">
        <f>Założenia!L$10+Założenia_kredyty!$H$11</f>
        <v>0.04</v>
      </c>
      <c r="K33" s="60">
        <f>Założenia!M$10+Założenia_kredyty!$H$11</f>
        <v>4.8500000000000001E-2</v>
      </c>
      <c r="L33" s="60">
        <f>Założenia!N$10+Założenia_kredyty!$H$11</f>
        <v>5.5000000000000007E-2</v>
      </c>
      <c r="M33" s="60">
        <f>Założenia!O$10+Założenia_kredyty!$H$11</f>
        <v>6.7000000000000004E-2</v>
      </c>
      <c r="N33" s="60">
        <f>Założenia!P$10+Założenia_kredyty!$H$11</f>
        <v>6.7000000000000004E-2</v>
      </c>
      <c r="O33" s="60">
        <f>Założenia!Q$10+Założenia_kredyty!$H$11</f>
        <v>6.7000000000000004E-2</v>
      </c>
      <c r="P33" s="60">
        <f>Założenia!R$10+Założenia_kredyty!$H$11</f>
        <v>6.7000000000000004E-2</v>
      </c>
      <c r="Q33" s="60">
        <f>Założenia!S$10+Założenia_kredyty!$H$11</f>
        <v>6.7000000000000004E-2</v>
      </c>
      <c r="R33" s="60">
        <f>Założenia!T$10+Założenia_kredyty!$H$11</f>
        <v>6.7000000000000004E-2</v>
      </c>
      <c r="S33" s="60">
        <f>Założenia!U$10+Założenia_kredyty!$H$11</f>
        <v>6.7000000000000004E-2</v>
      </c>
      <c r="T33" s="60">
        <f>Założenia!V$10+Założenia_kredyty!$H$11</f>
        <v>0.02</v>
      </c>
      <c r="U33" s="60">
        <f>Założenia!W$10+Założenia_kredyty!$H$11</f>
        <v>0.02</v>
      </c>
    </row>
    <row r="34" spans="1:21">
      <c r="A34" s="42"/>
      <c r="B34" s="43"/>
      <c r="C34" s="43"/>
      <c r="D34" s="6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>
      <c r="A35" s="58" t="s">
        <v>198</v>
      </c>
      <c r="B35" s="296" t="s">
        <v>199</v>
      </c>
      <c r="C35" s="297"/>
      <c r="D35" s="29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>
      <c r="A36" s="56"/>
      <c r="B36" s="55"/>
      <c r="C36" s="55"/>
      <c r="D36" s="57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>
      <c r="A37" s="56"/>
      <c r="B37" s="63" t="s">
        <v>200</v>
      </c>
      <c r="C37" s="63"/>
      <c r="D37" s="64" t="s">
        <v>16</v>
      </c>
      <c r="E37" s="63"/>
      <c r="F37" s="63"/>
      <c r="G37" s="63"/>
      <c r="H37" s="90">
        <f t="shared" ref="H37:U37" si="7">H8+H18+H28</f>
        <v>0</v>
      </c>
      <c r="I37" s="90">
        <f t="shared" si="7"/>
        <v>0</v>
      </c>
      <c r="J37" s="90">
        <f t="shared" si="7"/>
        <v>28613402.039999999</v>
      </c>
      <c r="K37" s="90">
        <f t="shared" si="7"/>
        <v>0</v>
      </c>
      <c r="L37" s="90">
        <f t="shared" si="7"/>
        <v>0</v>
      </c>
      <c r="M37" s="90">
        <f t="shared" si="7"/>
        <v>0</v>
      </c>
      <c r="N37" s="90">
        <f t="shared" si="7"/>
        <v>0</v>
      </c>
      <c r="O37" s="90">
        <f t="shared" si="7"/>
        <v>0</v>
      </c>
      <c r="P37" s="90">
        <f t="shared" si="7"/>
        <v>0</v>
      </c>
      <c r="Q37" s="90">
        <f t="shared" si="7"/>
        <v>0</v>
      </c>
      <c r="R37" s="90">
        <f t="shared" si="7"/>
        <v>0</v>
      </c>
      <c r="S37" s="90">
        <f t="shared" si="7"/>
        <v>0</v>
      </c>
      <c r="T37" s="90">
        <f t="shared" si="7"/>
        <v>0</v>
      </c>
      <c r="U37" s="90">
        <f t="shared" si="7"/>
        <v>0</v>
      </c>
    </row>
    <row r="38" spans="1:21">
      <c r="A38" s="56"/>
      <c r="B38" s="63"/>
      <c r="C38" s="63"/>
      <c r="D38" s="64"/>
      <c r="E38" s="63"/>
      <c r="F38" s="63"/>
      <c r="G38" s="63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>
      <c r="A39" s="56"/>
      <c r="B39" s="63" t="s">
        <v>201</v>
      </c>
      <c r="C39" s="63"/>
      <c r="D39" s="64" t="s">
        <v>16</v>
      </c>
      <c r="E39" s="63"/>
      <c r="F39" s="63"/>
      <c r="G39" s="63"/>
      <c r="H39" s="90">
        <f t="shared" ref="H39:I39" si="8">H9+H19+H29</f>
        <v>0</v>
      </c>
      <c r="I39" s="90">
        <f t="shared" si="8"/>
        <v>534000</v>
      </c>
      <c r="J39" s="90">
        <f t="shared" ref="J39:U39" si="9">J9+J19+J29</f>
        <v>10089356.039999999</v>
      </c>
      <c r="K39" s="90">
        <f t="shared" si="9"/>
        <v>6628436.3099999996</v>
      </c>
      <c r="L39" s="90">
        <f t="shared" si="9"/>
        <v>1605584.5199999998</v>
      </c>
      <c r="M39" s="90">
        <f t="shared" si="9"/>
        <v>1605584.5199999998</v>
      </c>
      <c r="N39" s="90">
        <f t="shared" si="9"/>
        <v>1605584.5199999998</v>
      </c>
      <c r="O39" s="90">
        <f t="shared" si="9"/>
        <v>1605584.5199999998</v>
      </c>
      <c r="P39" s="90">
        <f t="shared" si="9"/>
        <v>1605584.5199999998</v>
      </c>
      <c r="Q39" s="90">
        <f t="shared" si="9"/>
        <v>1605584.5199999998</v>
      </c>
      <c r="R39" s="90">
        <f t="shared" si="9"/>
        <v>1605584.5199999998</v>
      </c>
      <c r="S39" s="90">
        <f t="shared" si="9"/>
        <v>1605584.5199999998</v>
      </c>
      <c r="T39" s="90">
        <f t="shared" si="9"/>
        <v>1605584.3599999503</v>
      </c>
      <c r="U39" s="90">
        <f t="shared" si="9"/>
        <v>0</v>
      </c>
    </row>
    <row r="40" spans="1:21">
      <c r="A40" s="56"/>
      <c r="B40" s="63"/>
      <c r="C40" s="63"/>
      <c r="D40" s="64"/>
      <c r="E40" s="63"/>
      <c r="F40" s="63"/>
      <c r="G40" s="63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>
      <c r="A41" s="56"/>
      <c r="B41" s="63" t="s">
        <v>202</v>
      </c>
      <c r="C41" s="63"/>
      <c r="D41" s="64" t="s">
        <v>16</v>
      </c>
      <c r="E41" s="63"/>
      <c r="F41" s="63"/>
      <c r="G41" s="63"/>
      <c r="H41" s="90">
        <f t="shared" ref="H41:U41" si="10">H11+H21+H31</f>
        <v>0</v>
      </c>
      <c r="I41" s="90">
        <f t="shared" si="10"/>
        <v>13546.64</v>
      </c>
      <c r="J41" s="90">
        <f t="shared" si="10"/>
        <v>71956.2</v>
      </c>
      <c r="K41" s="90">
        <f t="shared" si="10"/>
        <v>746002</v>
      </c>
      <c r="L41" s="90">
        <f t="shared" si="10"/>
        <v>548434</v>
      </c>
      <c r="M41" s="90">
        <f t="shared" si="10"/>
        <v>588797</v>
      </c>
      <c r="N41" s="90">
        <f t="shared" si="10"/>
        <v>577481</v>
      </c>
      <c r="O41" s="90">
        <f t="shared" si="10"/>
        <v>595907</v>
      </c>
      <c r="P41" s="90">
        <f t="shared" si="10"/>
        <v>488333</v>
      </c>
      <c r="Q41" s="90">
        <f t="shared" si="10"/>
        <v>381913</v>
      </c>
      <c r="R41" s="90">
        <f t="shared" si="10"/>
        <v>273185</v>
      </c>
      <c r="S41" s="90">
        <f t="shared" si="10"/>
        <v>165610</v>
      </c>
      <c r="T41" s="90">
        <f t="shared" si="10"/>
        <v>58036</v>
      </c>
      <c r="U41" s="90">
        <f t="shared" si="10"/>
        <v>0</v>
      </c>
    </row>
    <row r="42" spans="1:21">
      <c r="A42" s="56"/>
      <c r="B42" s="63"/>
      <c r="C42" s="63"/>
      <c r="D42" s="6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>
      <c r="A43" s="91"/>
      <c r="B43" s="63" t="s">
        <v>203</v>
      </c>
      <c r="C43" s="63"/>
      <c r="D43" s="64" t="s">
        <v>16</v>
      </c>
      <c r="E43" s="63"/>
      <c r="F43" s="63"/>
      <c r="G43" s="63"/>
      <c r="H43" s="90">
        <f t="shared" ref="H43:U43" si="11">H10+H20+H30</f>
        <v>3088650.83</v>
      </c>
      <c r="I43" s="90">
        <f t="shared" si="11"/>
        <v>2554650.83</v>
      </c>
      <c r="J43" s="90">
        <f t="shared" si="11"/>
        <v>21078696.829999998</v>
      </c>
      <c r="K43" s="90">
        <f t="shared" si="11"/>
        <v>14450260.52</v>
      </c>
      <c r="L43" s="90">
        <f t="shared" si="11"/>
        <v>12844676</v>
      </c>
      <c r="M43" s="90">
        <f t="shared" si="11"/>
        <v>11239091.48</v>
      </c>
      <c r="N43" s="90">
        <f t="shared" si="11"/>
        <v>9633506.9600000009</v>
      </c>
      <c r="O43" s="90">
        <f t="shared" si="11"/>
        <v>8027922.4400000013</v>
      </c>
      <c r="P43" s="90">
        <f t="shared" si="11"/>
        <v>6422337.9200000018</v>
      </c>
      <c r="Q43" s="90">
        <f t="shared" si="11"/>
        <v>4816753.4000000022</v>
      </c>
      <c r="R43" s="90">
        <f t="shared" si="11"/>
        <v>3211168.8800000027</v>
      </c>
      <c r="S43" s="90">
        <f t="shared" si="11"/>
        <v>1605584.3600000029</v>
      </c>
      <c r="T43" s="90">
        <f t="shared" si="11"/>
        <v>5.2619725465774536E-8</v>
      </c>
      <c r="U43" s="90">
        <f t="shared" si="11"/>
        <v>5.2619725465774536E-8</v>
      </c>
    </row>
    <row r="44" spans="1:21">
      <c r="A44" s="91"/>
      <c r="B44" s="65" t="s">
        <v>332</v>
      </c>
      <c r="C44" s="63"/>
      <c r="D44" s="64"/>
      <c r="E44" s="63"/>
      <c r="F44" s="63"/>
      <c r="G44" s="63"/>
      <c r="H44" s="89">
        <f t="shared" ref="H44:I44" si="12">H43-H46</f>
        <v>2554650.83</v>
      </c>
      <c r="I44" s="89">
        <f t="shared" si="12"/>
        <v>1170926.79</v>
      </c>
      <c r="J44" s="89">
        <f>J43-J46</f>
        <v>14450260.52</v>
      </c>
      <c r="K44" s="89">
        <f t="shared" ref="K44:U44" si="13">K43-K46</f>
        <v>12844676</v>
      </c>
      <c r="L44" s="89">
        <f t="shared" si="13"/>
        <v>11239091.48</v>
      </c>
      <c r="M44" s="89">
        <f t="shared" si="13"/>
        <v>9633506.9600000009</v>
      </c>
      <c r="N44" s="89">
        <f t="shared" si="13"/>
        <v>8027922.4400000013</v>
      </c>
      <c r="O44" s="89">
        <f t="shared" si="13"/>
        <v>6422337.9200000018</v>
      </c>
      <c r="P44" s="89">
        <f t="shared" si="13"/>
        <v>4816753.4000000022</v>
      </c>
      <c r="Q44" s="89">
        <f t="shared" si="13"/>
        <v>3211168.8800000027</v>
      </c>
      <c r="R44" s="89">
        <f t="shared" si="13"/>
        <v>1605584.3600000029</v>
      </c>
      <c r="S44" s="89">
        <f t="shared" si="13"/>
        <v>5.2619725465774536E-8</v>
      </c>
      <c r="T44" s="89">
        <f t="shared" si="13"/>
        <v>5.2619725465774536E-8</v>
      </c>
      <c r="U44" s="89">
        <f t="shared" si="13"/>
        <v>5.2619725465774536E-8</v>
      </c>
    </row>
    <row r="45" spans="1:21">
      <c r="A45" s="91"/>
      <c r="B45" s="65" t="s">
        <v>330</v>
      </c>
      <c r="C45" s="65"/>
      <c r="D45" s="57" t="s">
        <v>16</v>
      </c>
      <c r="E45" s="55"/>
      <c r="F45" s="55"/>
      <c r="G45" s="55"/>
      <c r="H45" s="89">
        <f>H20+H30</f>
        <v>0</v>
      </c>
      <c r="I45" s="89">
        <f t="shared" ref="I45:U45" si="14">I20+I30-I47</f>
        <v>0</v>
      </c>
      <c r="J45" s="89">
        <f t="shared" si="14"/>
        <v>14450260.52</v>
      </c>
      <c r="K45" s="89">
        <f t="shared" si="14"/>
        <v>12844676</v>
      </c>
      <c r="L45" s="89">
        <f t="shared" si="14"/>
        <v>11239091.48</v>
      </c>
      <c r="M45" s="89">
        <f t="shared" si="14"/>
        <v>9633506.9600000009</v>
      </c>
      <c r="N45" s="89">
        <f t="shared" si="14"/>
        <v>8027922.4400000013</v>
      </c>
      <c r="O45" s="89">
        <f t="shared" si="14"/>
        <v>6422337.9200000018</v>
      </c>
      <c r="P45" s="89">
        <f t="shared" si="14"/>
        <v>4816753.4000000022</v>
      </c>
      <c r="Q45" s="89">
        <f t="shared" si="14"/>
        <v>3211168.8800000027</v>
      </c>
      <c r="R45" s="89">
        <f t="shared" si="14"/>
        <v>1605584.3600000029</v>
      </c>
      <c r="S45" s="89">
        <f t="shared" si="14"/>
        <v>5.2619725465774536E-8</v>
      </c>
      <c r="T45" s="89">
        <f t="shared" si="14"/>
        <v>5.2619725465774536E-8</v>
      </c>
      <c r="U45" s="89">
        <f t="shared" si="14"/>
        <v>5.2619725465774536E-8</v>
      </c>
    </row>
    <row r="46" spans="1:21">
      <c r="A46" s="56"/>
      <c r="B46" s="65" t="s">
        <v>329</v>
      </c>
      <c r="C46" s="65"/>
      <c r="D46" s="57" t="s">
        <v>16</v>
      </c>
      <c r="E46" s="55"/>
      <c r="F46" s="55"/>
      <c r="G46" s="55"/>
      <c r="H46" s="89">
        <f>I9+I19</f>
        <v>534000</v>
      </c>
      <c r="I46" s="89">
        <f>J9+J19</f>
        <v>1383724.04</v>
      </c>
      <c r="J46" s="89">
        <f>K29+K19+K9</f>
        <v>6628436.3099999996</v>
      </c>
      <c r="K46" s="89">
        <f t="shared" ref="K46:S46" si="15">L29+L19+L9</f>
        <v>1605584.5199999998</v>
      </c>
      <c r="L46" s="89">
        <f t="shared" si="15"/>
        <v>1605584.5199999998</v>
      </c>
      <c r="M46" s="89">
        <f t="shared" si="15"/>
        <v>1605584.5199999998</v>
      </c>
      <c r="N46" s="89">
        <f t="shared" si="15"/>
        <v>1605584.5199999998</v>
      </c>
      <c r="O46" s="89">
        <f t="shared" si="15"/>
        <v>1605584.5199999998</v>
      </c>
      <c r="P46" s="89">
        <f t="shared" si="15"/>
        <v>1605584.5199999998</v>
      </c>
      <c r="Q46" s="89">
        <f t="shared" si="15"/>
        <v>1605584.5199999998</v>
      </c>
      <c r="R46" s="89">
        <f t="shared" si="15"/>
        <v>1605584.5199999998</v>
      </c>
      <c r="S46" s="89">
        <f t="shared" si="15"/>
        <v>1605584.3599999503</v>
      </c>
      <c r="T46" s="89">
        <f>U29+U19+U9</f>
        <v>0</v>
      </c>
      <c r="U46" s="89">
        <f>V29+V19+V9</f>
        <v>0</v>
      </c>
    </row>
    <row r="47" spans="1:21">
      <c r="A47" s="42"/>
      <c r="B47" s="66" t="s">
        <v>331</v>
      </c>
      <c r="C47" s="66"/>
      <c r="D47" s="44" t="s">
        <v>16</v>
      </c>
      <c r="E47" s="43"/>
      <c r="F47" s="43"/>
      <c r="G47" s="43"/>
      <c r="H47" s="43"/>
      <c r="I47" s="43"/>
      <c r="J47" s="265">
        <f>K19+K29</f>
        <v>5457509.5199999996</v>
      </c>
      <c r="K47" s="265">
        <f t="shared" ref="K47:S47" si="16">L19+L29</f>
        <v>1605584.5199999998</v>
      </c>
      <c r="L47" s="265">
        <f t="shared" si="16"/>
        <v>1605584.5199999998</v>
      </c>
      <c r="M47" s="265">
        <f t="shared" si="16"/>
        <v>1605584.5199999998</v>
      </c>
      <c r="N47" s="265">
        <f t="shared" si="16"/>
        <v>1605584.5199999998</v>
      </c>
      <c r="O47" s="265">
        <f t="shared" si="16"/>
        <v>1605584.5199999998</v>
      </c>
      <c r="P47" s="265">
        <f t="shared" si="16"/>
        <v>1605584.5199999998</v>
      </c>
      <c r="Q47" s="265">
        <f t="shared" si="16"/>
        <v>1605584.5199999998</v>
      </c>
      <c r="R47" s="265">
        <f t="shared" si="16"/>
        <v>1605584.5199999998</v>
      </c>
      <c r="S47" s="265">
        <f t="shared" si="16"/>
        <v>1605584.3599999503</v>
      </c>
      <c r="T47" s="43"/>
      <c r="U47" s="43"/>
    </row>
    <row r="48" spans="1:21" s="99" customFormat="1" ht="10.199999999999999"/>
    <row r="49" spans="8:10" s="99" customFormat="1" ht="10.199999999999999">
      <c r="H49" s="100"/>
      <c r="I49" s="100"/>
      <c r="J49" s="100"/>
    </row>
    <row r="50" spans="8:10" s="99" customFormat="1" ht="10.199999999999999">
      <c r="H50" s="100"/>
      <c r="I50" s="100"/>
      <c r="J50" s="100"/>
    </row>
    <row r="51" spans="8:10" s="99" customFormat="1" ht="10.199999999999999"/>
  </sheetData>
  <mergeCells count="4">
    <mergeCell ref="B15:D15"/>
    <mergeCell ref="B5:D5"/>
    <mergeCell ref="B25:D25"/>
    <mergeCell ref="B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2"/>
  <sheetViews>
    <sheetView showGridLines="0" tabSelected="1" zoomScaleNormal="100" workbookViewId="0">
      <pane xSplit="3" ySplit="1" topLeftCell="H2" activePane="bottomRight" state="frozen"/>
      <selection pane="topRight" activeCell="D1" sqref="D1"/>
      <selection pane="bottomLeft" activeCell="A2" sqref="A2"/>
      <selection pane="bottomRight" activeCell="L17" sqref="L17"/>
    </sheetView>
  </sheetViews>
  <sheetFormatPr defaultRowHeight="13.8"/>
  <cols>
    <col min="1" max="1" width="2.8984375" bestFit="1" customWidth="1"/>
    <col min="2" max="3" width="20" customWidth="1"/>
    <col min="4" max="4" width="9.296875" bestFit="1" customWidth="1"/>
    <col min="5" max="5" width="8.8984375" bestFit="1" customWidth="1"/>
    <col min="6" max="6" width="17.3984375" bestFit="1" customWidth="1"/>
    <col min="7" max="20" width="9.59765625" bestFit="1" customWidth="1"/>
  </cols>
  <sheetData>
    <row r="1" spans="1:20" s="8" customFormat="1">
      <c r="E1" s="7">
        <v>2012</v>
      </c>
      <c r="F1" s="7">
        <v>2013</v>
      </c>
      <c r="G1" s="7">
        <v>2014</v>
      </c>
      <c r="H1" s="7">
        <v>2015</v>
      </c>
      <c r="I1" s="7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  <c r="Q1" s="7">
        <v>2024</v>
      </c>
      <c r="R1" s="7">
        <v>2025</v>
      </c>
      <c r="S1" s="7">
        <v>2026</v>
      </c>
      <c r="T1" s="7">
        <v>2027</v>
      </c>
    </row>
    <row r="2" spans="1:20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2" t="s">
        <v>0</v>
      </c>
      <c r="B3" s="304" t="s">
        <v>25</v>
      </c>
      <c r="C3" s="304"/>
      <c r="D3" s="12" t="s">
        <v>13</v>
      </c>
      <c r="E3" s="103">
        <f>E$1</f>
        <v>2012</v>
      </c>
      <c r="F3" s="103">
        <f t="shared" ref="F3:T3" si="0">F$1</f>
        <v>2013</v>
      </c>
      <c r="G3" s="103">
        <f t="shared" si="0"/>
        <v>2014</v>
      </c>
      <c r="H3" s="103">
        <f t="shared" si="0"/>
        <v>2015</v>
      </c>
      <c r="I3" s="103">
        <f t="shared" si="0"/>
        <v>2016</v>
      </c>
      <c r="J3" s="103">
        <f t="shared" si="0"/>
        <v>2017</v>
      </c>
      <c r="K3" s="103">
        <f t="shared" si="0"/>
        <v>2018</v>
      </c>
      <c r="L3" s="103">
        <f t="shared" si="0"/>
        <v>2019</v>
      </c>
      <c r="M3" s="103">
        <f t="shared" si="0"/>
        <v>2020</v>
      </c>
      <c r="N3" s="103">
        <f t="shared" si="0"/>
        <v>2021</v>
      </c>
      <c r="O3" s="103">
        <f t="shared" si="0"/>
        <v>2022</v>
      </c>
      <c r="P3" s="103">
        <f t="shared" si="0"/>
        <v>2023</v>
      </c>
      <c r="Q3" s="103">
        <f t="shared" si="0"/>
        <v>2024</v>
      </c>
      <c r="R3" s="103">
        <f t="shared" si="0"/>
        <v>2025</v>
      </c>
      <c r="S3" s="103">
        <f t="shared" si="0"/>
        <v>2026</v>
      </c>
      <c r="T3" s="103">
        <f t="shared" si="0"/>
        <v>2027</v>
      </c>
    </row>
    <row r="4" spans="1:20">
      <c r="A4" s="3" t="s">
        <v>12</v>
      </c>
      <c r="B4" s="307" t="s">
        <v>26</v>
      </c>
      <c r="C4" s="307"/>
      <c r="D4" s="3" t="s">
        <v>27</v>
      </c>
      <c r="E4" s="74" t="s">
        <v>28</v>
      </c>
      <c r="F4" s="74" t="s">
        <v>139</v>
      </c>
      <c r="G4" s="74" t="s">
        <v>140</v>
      </c>
      <c r="H4" s="74" t="s">
        <v>141</v>
      </c>
      <c r="I4" s="74" t="s">
        <v>142</v>
      </c>
      <c r="J4" s="74" t="s">
        <v>143</v>
      </c>
      <c r="K4" s="74" t="s">
        <v>172</v>
      </c>
      <c r="L4" s="74" t="s">
        <v>173</v>
      </c>
      <c r="M4" s="74" t="s">
        <v>174</v>
      </c>
      <c r="N4" s="74" t="s">
        <v>175</v>
      </c>
      <c r="O4" s="74" t="s">
        <v>176</v>
      </c>
      <c r="P4" s="74" t="s">
        <v>177</v>
      </c>
      <c r="Q4" s="74" t="s">
        <v>178</v>
      </c>
      <c r="R4" s="74" t="s">
        <v>179</v>
      </c>
      <c r="S4" s="74" t="s">
        <v>180</v>
      </c>
      <c r="T4" s="74" t="s">
        <v>219</v>
      </c>
    </row>
    <row r="5" spans="1:20" s="14" customFormat="1">
      <c r="A5" s="13" t="s">
        <v>29</v>
      </c>
      <c r="B5" s="302" t="s">
        <v>30</v>
      </c>
      <c r="C5" s="302"/>
      <c r="D5" s="149" t="s">
        <v>16</v>
      </c>
      <c r="E5" s="95">
        <f>SUM(E6:E9)</f>
        <v>0</v>
      </c>
      <c r="F5" s="95">
        <f t="shared" ref="F5:T5" si="1">SUM(F6:F9)</f>
        <v>0</v>
      </c>
      <c r="G5" s="75">
        <f>Założenia!G46</f>
        <v>26002712.220000003</v>
      </c>
      <c r="H5" s="75">
        <f t="shared" si="1"/>
        <v>27205780.789999999</v>
      </c>
      <c r="I5" s="75">
        <f t="shared" si="1"/>
        <v>27512539.899999999</v>
      </c>
      <c r="J5" s="75">
        <f t="shared" si="1"/>
        <v>27830144.129999999</v>
      </c>
      <c r="K5" s="75">
        <f t="shared" si="1"/>
        <v>28784849.960000001</v>
      </c>
      <c r="L5" s="75">
        <f t="shared" si="1"/>
        <v>29103546.91</v>
      </c>
      <c r="M5" s="75">
        <f t="shared" si="1"/>
        <v>28011192.800000001</v>
      </c>
      <c r="N5" s="75">
        <f t="shared" si="1"/>
        <v>25037935.479999997</v>
      </c>
      <c r="O5" s="75">
        <f t="shared" si="1"/>
        <v>25311242.479999997</v>
      </c>
      <c r="P5" s="75">
        <f t="shared" si="1"/>
        <v>25386226.119999997</v>
      </c>
      <c r="Q5" s="75">
        <f t="shared" si="1"/>
        <v>25447964.740000002</v>
      </c>
      <c r="R5" s="75">
        <f t="shared" si="1"/>
        <v>25595057.280000001</v>
      </c>
      <c r="S5" s="75">
        <f t="shared" si="1"/>
        <v>25745996.5</v>
      </c>
      <c r="T5" s="75">
        <f t="shared" si="1"/>
        <v>25899585.039999999</v>
      </c>
    </row>
    <row r="6" spans="1:20" s="14" customFormat="1" ht="20.399999999999999" customHeight="1">
      <c r="A6" s="13"/>
      <c r="B6" s="308" t="s">
        <v>273</v>
      </c>
      <c r="C6" s="309"/>
      <c r="D6" s="162" t="s">
        <v>16</v>
      </c>
      <c r="E6" s="163"/>
      <c r="F6" s="163"/>
      <c r="G6" s="168">
        <f>ROUND(Założenia!G182,0)</f>
        <v>0</v>
      </c>
      <c r="H6" s="168">
        <f>ROUND(Założenia!H182,2)</f>
        <v>10809626.720000001</v>
      </c>
      <c r="I6" s="168">
        <f>Założenia!I191</f>
        <v>10809626.719999999</v>
      </c>
      <c r="J6" s="168">
        <f>Założenia!J191</f>
        <v>10809626.719999999</v>
      </c>
      <c r="K6" s="168">
        <f>Założenia!K191</f>
        <v>10823861.719999999</v>
      </c>
      <c r="L6" s="168">
        <f>Założenia!L191</f>
        <v>10838096.719999999</v>
      </c>
      <c r="M6" s="168">
        <f>Założenia!M191</f>
        <v>10852331.719999999</v>
      </c>
      <c r="N6" s="168">
        <f>Założenia!N191</f>
        <v>10866566.719999999</v>
      </c>
      <c r="O6" s="168">
        <f>Założenia!O191</f>
        <v>10880804.719999999</v>
      </c>
      <c r="P6" s="168">
        <f>Założenia!P191</f>
        <v>10880804.719999999</v>
      </c>
      <c r="Q6" s="168">
        <f>Założenia!Q191</f>
        <v>10880804.719999999</v>
      </c>
      <c r="R6" s="168">
        <f>Założenia!R191</f>
        <v>10880804.719999999</v>
      </c>
      <c r="S6" s="168">
        <f>Założenia!S191</f>
        <v>10880804.719999999</v>
      </c>
      <c r="T6" s="168">
        <f>Założenia!T191</f>
        <v>10880804.719999999</v>
      </c>
    </row>
    <row r="7" spans="1:20" s="167" customFormat="1" ht="20.399999999999999" customHeight="1">
      <c r="A7" s="149"/>
      <c r="B7" s="165" t="s">
        <v>274</v>
      </c>
      <c r="C7" s="166"/>
      <c r="D7" s="162" t="s">
        <v>16</v>
      </c>
      <c r="E7" s="164"/>
      <c r="F7" s="164"/>
      <c r="G7" s="168"/>
      <c r="H7" s="168">
        <f>Założenia!I192</f>
        <v>16081778.68</v>
      </c>
      <c r="I7" s="168">
        <f>ROUND((SUM(I11:I18)-I20+I22-I24+I25-I6-I8)*1.05,2)</f>
        <v>16403442.039999999</v>
      </c>
      <c r="J7" s="168">
        <f t="shared" ref="J7" si="2">ROUND((SUM(J11:J18)-J20+J22-J24+J25-J6-J8)*1.05,2)</f>
        <v>16721046.27</v>
      </c>
      <c r="K7" s="168">
        <f>ROUND((SUM(K11:K18)-K20+K22-K24+K25-K6-K8)*1.06,2)</f>
        <v>17661517.100000001</v>
      </c>
      <c r="L7" s="168">
        <f t="shared" ref="L7:T7" si="3">ROUND((SUM(L11:L18)-L20+L22-L24+L25-L6-L8)*1.06,2)</f>
        <v>17965979.050000001</v>
      </c>
      <c r="M7" s="168">
        <f t="shared" si="3"/>
        <v>16859389.940000001</v>
      </c>
      <c r="N7" s="168">
        <f t="shared" si="3"/>
        <v>13871897.619999999</v>
      </c>
      <c r="O7" s="168">
        <f t="shared" si="3"/>
        <v>14130966.619999999</v>
      </c>
      <c r="P7" s="168">
        <f t="shared" si="3"/>
        <v>14205950.26</v>
      </c>
      <c r="Q7" s="168">
        <f t="shared" si="3"/>
        <v>14267688.880000001</v>
      </c>
      <c r="R7" s="168">
        <f t="shared" si="3"/>
        <v>14414781.42</v>
      </c>
      <c r="S7" s="168">
        <f t="shared" si="3"/>
        <v>14565720.640000001</v>
      </c>
      <c r="T7" s="168">
        <f t="shared" si="3"/>
        <v>14719309.18</v>
      </c>
    </row>
    <row r="8" spans="1:20" s="14" customFormat="1" ht="20.399999999999999" customHeight="1">
      <c r="A8" s="13"/>
      <c r="B8" s="310" t="s">
        <v>275</v>
      </c>
      <c r="C8" s="311"/>
      <c r="D8" s="149" t="s">
        <v>16</v>
      </c>
      <c r="E8" s="95"/>
      <c r="F8" s="95"/>
      <c r="G8" s="144">
        <f>Założenia!G184</f>
        <v>0</v>
      </c>
      <c r="H8" s="144">
        <f>Założenia!H184</f>
        <v>299471.14</v>
      </c>
      <c r="I8" s="144">
        <f>H8</f>
        <v>299471.14</v>
      </c>
      <c r="J8" s="144">
        <f t="shared" ref="J8:T8" si="4">I8</f>
        <v>299471.14</v>
      </c>
      <c r="K8" s="144">
        <f t="shared" si="4"/>
        <v>299471.14</v>
      </c>
      <c r="L8" s="144">
        <f t="shared" si="4"/>
        <v>299471.14</v>
      </c>
      <c r="M8" s="144">
        <f t="shared" si="4"/>
        <v>299471.14</v>
      </c>
      <c r="N8" s="144">
        <f t="shared" si="4"/>
        <v>299471.14</v>
      </c>
      <c r="O8" s="144">
        <f t="shared" si="4"/>
        <v>299471.14</v>
      </c>
      <c r="P8" s="144">
        <f t="shared" si="4"/>
        <v>299471.14</v>
      </c>
      <c r="Q8" s="144">
        <f t="shared" si="4"/>
        <v>299471.14</v>
      </c>
      <c r="R8" s="144">
        <f t="shared" si="4"/>
        <v>299471.14</v>
      </c>
      <c r="S8" s="144">
        <f t="shared" si="4"/>
        <v>299471.14</v>
      </c>
      <c r="T8" s="144">
        <f t="shared" si="4"/>
        <v>299471.14</v>
      </c>
    </row>
    <row r="9" spans="1:20" s="14" customFormat="1" ht="20.399999999999999" customHeight="1">
      <c r="A9" s="13"/>
      <c r="B9" s="310" t="s">
        <v>272</v>
      </c>
      <c r="C9" s="311"/>
      <c r="D9" s="149" t="s">
        <v>16</v>
      </c>
      <c r="E9" s="95"/>
      <c r="F9" s="95"/>
      <c r="G9" s="144">
        <f>Założenia!G185</f>
        <v>0</v>
      </c>
      <c r="H9" s="144">
        <f>Założenia!H185</f>
        <v>14904.25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</row>
    <row r="10" spans="1:20" s="14" customFormat="1">
      <c r="A10" s="15" t="s">
        <v>31</v>
      </c>
      <c r="B10" s="306" t="s">
        <v>32</v>
      </c>
      <c r="C10" s="306"/>
      <c r="D10" s="15" t="s">
        <v>16</v>
      </c>
      <c r="E10" s="96">
        <f>SUM(E11:E18)</f>
        <v>0</v>
      </c>
      <c r="F10" s="96">
        <f t="shared" ref="F10:S10" si="5">SUM(F11:F18)</f>
        <v>0</v>
      </c>
      <c r="G10" s="76">
        <f t="shared" si="5"/>
        <v>27299872.850000005</v>
      </c>
      <c r="H10" s="76">
        <f t="shared" si="5"/>
        <v>28367797.769999992</v>
      </c>
      <c r="I10" s="76">
        <f t="shared" si="5"/>
        <v>28603767.977799997</v>
      </c>
      <c r="J10" s="76">
        <f t="shared" si="5"/>
        <v>28847838.636777997</v>
      </c>
      <c r="K10" s="76">
        <f t="shared" si="5"/>
        <v>32936478.161195785</v>
      </c>
      <c r="L10" s="76">
        <f t="shared" si="5"/>
        <v>33435509.420419239</v>
      </c>
      <c r="M10" s="76">
        <f t="shared" si="5"/>
        <v>32365429.424434934</v>
      </c>
      <c r="N10" s="76">
        <f t="shared" si="5"/>
        <v>29572591.450890779</v>
      </c>
      <c r="O10" s="76">
        <f t="shared" si="5"/>
        <v>29812808.166411191</v>
      </c>
      <c r="P10" s="76">
        <f t="shared" si="5"/>
        <v>29808586.577886797</v>
      </c>
      <c r="Q10" s="76">
        <f t="shared" si="5"/>
        <v>29745081.970789168</v>
      </c>
      <c r="R10" s="76">
        <f t="shared" si="5"/>
        <v>29992576.520510565</v>
      </c>
      <c r="S10" s="76">
        <f t="shared" si="5"/>
        <v>30242547.005729165</v>
      </c>
      <c r="T10" s="76">
        <f t="shared" ref="T10" si="6">SUM(T11:T18)</f>
        <v>30495015.855799958</v>
      </c>
    </row>
    <row r="11" spans="1:20">
      <c r="A11" s="3" t="s">
        <v>33</v>
      </c>
      <c r="B11" s="299" t="s">
        <v>34</v>
      </c>
      <c r="C11" s="299"/>
      <c r="D11" s="3" t="s">
        <v>16</v>
      </c>
      <c r="E11" s="152">
        <f>Założenia!E48</f>
        <v>0</v>
      </c>
      <c r="F11" s="152">
        <f>Założenia!F48</f>
        <v>0</v>
      </c>
      <c r="G11" s="72">
        <f>Założenia!G48</f>
        <v>3973187.74</v>
      </c>
      <c r="H11" s="72">
        <f>Założenia!H48</f>
        <v>4201288.25</v>
      </c>
      <c r="I11" s="72">
        <f>Obliczenia!I23+Obliczenia!I46+Obliczenia!I79</f>
        <v>4196702.08</v>
      </c>
      <c r="J11" s="72">
        <f>Obliczenia!J23+Obliczenia!J46+Obliczenia!J79</f>
        <v>4196702.08</v>
      </c>
      <c r="K11" s="72">
        <f>Obliczenia!K23+Obliczenia!K46+Obliczenia!K79</f>
        <v>9621330.2388500012</v>
      </c>
      <c r="L11" s="72">
        <f>Obliczenia!L23+Obliczenia!L46+Obliczenia!L79</f>
        <v>9887210.0188500006</v>
      </c>
      <c r="M11" s="72">
        <f>Obliczenia!M23+Obliczenia!M46+Obliczenia!M79</f>
        <v>8581646.7788500004</v>
      </c>
      <c r="N11" s="72">
        <f>Obliczenia!N23+Obliczenia!N46+Obliczenia!N79</f>
        <v>5550970.8988500005</v>
      </c>
      <c r="O11" s="72">
        <f>Obliczenia!O23+Obliczenia!O46+Obliczenia!O79</f>
        <v>5550970.8988500005</v>
      </c>
      <c r="P11" s="72">
        <f>Obliczenia!P23+Obliczenia!P46+Obliczenia!P79</f>
        <v>5304131.3876499999</v>
      </c>
      <c r="Q11" s="72">
        <f>Obliczenia!Q23+Obliczenia!Q46+Obliczenia!Q79</f>
        <v>4995581.9986500004</v>
      </c>
      <c r="R11" s="72">
        <f>Obliczenia!R23+Obliczenia!R46+Obliczenia!R79</f>
        <v>4995581.9986500004</v>
      </c>
      <c r="S11" s="72">
        <f>Obliczenia!S23+Obliczenia!S46+Obliczenia!S79</f>
        <v>4995581.9986500004</v>
      </c>
      <c r="T11" s="72">
        <f>Obliczenia!T23+Obliczenia!T46+Obliczenia!T79</f>
        <v>4995581.9986500004</v>
      </c>
    </row>
    <row r="12" spans="1:20">
      <c r="A12" s="3" t="s">
        <v>35</v>
      </c>
      <c r="B12" s="299" t="s">
        <v>36</v>
      </c>
      <c r="C12" s="299"/>
      <c r="D12" s="3" t="s">
        <v>16</v>
      </c>
      <c r="E12" s="152">
        <f>Założenia!E49</f>
        <v>0</v>
      </c>
      <c r="F12" s="152">
        <f>Założenia!F49</f>
        <v>0</v>
      </c>
      <c r="G12" s="72">
        <f>Założenia!G49</f>
        <v>8656001.3100000005</v>
      </c>
      <c r="H12" s="72">
        <f>Założenia!H49</f>
        <v>8540270.5199999996</v>
      </c>
      <c r="I12" s="72">
        <f>Założenia!I199+Założenia!I209</f>
        <v>8625673.2251999993</v>
      </c>
      <c r="J12" s="72">
        <f>Założenia!J199+Założenia!J209</f>
        <v>8711929.9574519992</v>
      </c>
      <c r="K12" s="72">
        <f>Założenia!K199+Założenia!K209</f>
        <v>7370640.2570265196</v>
      </c>
      <c r="L12" s="72">
        <f>Założenia!L199+Założenia!L209</f>
        <v>7444346.7495967858</v>
      </c>
      <c r="M12" s="72">
        <f>Założenia!M199+Założenia!M209</f>
        <v>7518790.147092754</v>
      </c>
      <c r="N12" s="72">
        <f>Założenia!N199+Założenia!N209</f>
        <v>7593978.2485636808</v>
      </c>
      <c r="O12" s="72">
        <f>Założenia!O199+Założenia!O209</f>
        <v>7669917.9410493169</v>
      </c>
      <c r="P12" s="72">
        <f>Założenia!P199+Założenia!P209</f>
        <v>7746617.20045981</v>
      </c>
      <c r="Q12" s="72">
        <f>Założenia!Q199+Założenia!Q209</f>
        <v>7824083.0924644079</v>
      </c>
      <c r="R12" s="72">
        <f>Założenia!R199+Założenia!R209</f>
        <v>7902323.7733890526</v>
      </c>
      <c r="S12" s="72">
        <f>Założenia!S199+Założenia!S209</f>
        <v>7981347.4911229424</v>
      </c>
      <c r="T12" s="72">
        <f>Założenia!T199+Założenia!T209</f>
        <v>8061160.5860341713</v>
      </c>
    </row>
    <row r="13" spans="1:20">
      <c r="A13" s="3" t="s">
        <v>37</v>
      </c>
      <c r="B13" s="299" t="s">
        <v>38</v>
      </c>
      <c r="C13" s="299"/>
      <c r="D13" s="3" t="s">
        <v>16</v>
      </c>
      <c r="E13" s="152">
        <f>Założenia!E50</f>
        <v>0</v>
      </c>
      <c r="F13" s="152">
        <f>Założenia!F50</f>
        <v>0</v>
      </c>
      <c r="G13" s="72">
        <f>Założenia!G50</f>
        <v>1128313.45</v>
      </c>
      <c r="H13" s="72">
        <f>Założenia!H50</f>
        <v>1144741.03</v>
      </c>
      <c r="I13" s="72">
        <f>Założenia!I200+Założenia!I210</f>
        <v>1156188.4403000001</v>
      </c>
      <c r="J13" s="72">
        <f>Założenia!J200+Założenia!J210</f>
        <v>1167750.3247030003</v>
      </c>
      <c r="K13" s="72">
        <f>Założenia!K200+Założenia!K210</f>
        <v>1025336.8279500303</v>
      </c>
      <c r="L13" s="72">
        <f>Założenia!L200+Założenia!L210</f>
        <v>1035590.1062295306</v>
      </c>
      <c r="M13" s="72">
        <f>Założenia!M200+Założenia!M210</f>
        <v>1045946.327291826</v>
      </c>
      <c r="N13" s="72">
        <f>Założenia!N200+Założenia!N210</f>
        <v>1056405.6705647444</v>
      </c>
      <c r="O13" s="72">
        <f>Założenia!O200+Założenia!O210</f>
        <v>1066970.3272703919</v>
      </c>
      <c r="P13" s="72">
        <f>Założenia!P200+Założenia!P210</f>
        <v>1077639.5005430959</v>
      </c>
      <c r="Q13" s="72">
        <f>Założenia!Q200+Założenia!Q210</f>
        <v>1088416.4055485269</v>
      </c>
      <c r="R13" s="72">
        <f>Założenia!R200+Założenia!R210</f>
        <v>1099300.2696040121</v>
      </c>
      <c r="S13" s="72">
        <f>Założenia!S200+Założenia!S210</f>
        <v>1110293.3323000523</v>
      </c>
      <c r="T13" s="72">
        <f>Założenia!T200+Założenia!T210</f>
        <v>1121395.8456230529</v>
      </c>
    </row>
    <row r="14" spans="1:20">
      <c r="A14" s="3" t="s">
        <v>39</v>
      </c>
      <c r="B14" s="299" t="s">
        <v>40</v>
      </c>
      <c r="C14" s="299"/>
      <c r="D14" s="3" t="s">
        <v>16</v>
      </c>
      <c r="E14" s="152">
        <f>Założenia!E51</f>
        <v>0</v>
      </c>
      <c r="F14" s="152">
        <f>Założenia!F51</f>
        <v>0</v>
      </c>
      <c r="G14" s="72">
        <f>Założenia!G51</f>
        <v>627907.80000000005</v>
      </c>
      <c r="H14" s="72">
        <f>Założenia!H51</f>
        <v>698707.27</v>
      </c>
      <c r="I14" s="72">
        <f>Założenia!I201+Założenia!I211</f>
        <v>705694.34270000004</v>
      </c>
      <c r="J14" s="72">
        <f>Założenia!J201+Założenia!J211</f>
        <v>712751.286127</v>
      </c>
      <c r="K14" s="72">
        <f>Założenia!K201+Założenia!K211</f>
        <v>719878.79898826999</v>
      </c>
      <c r="L14" s="72">
        <f>Założenia!L201+Założenia!L211</f>
        <v>727077.58697815274</v>
      </c>
      <c r="M14" s="72">
        <f>Założenia!M201+Założenia!M211</f>
        <v>734348.36284793424</v>
      </c>
      <c r="N14" s="72">
        <f>Założenia!N201+Założenia!N211</f>
        <v>741691.84647641354</v>
      </c>
      <c r="O14" s="72">
        <f>Założenia!O201+Założenia!O211</f>
        <v>749108.76494117768</v>
      </c>
      <c r="P14" s="72">
        <f>Założenia!P201+Założenia!P211</f>
        <v>756599.85259058943</v>
      </c>
      <c r="Q14" s="72">
        <f>Założenia!Q201+Założenia!Q211</f>
        <v>764165.85111649532</v>
      </c>
      <c r="R14" s="72">
        <f>Założenia!R201+Założenia!R211</f>
        <v>771807.50962766027</v>
      </c>
      <c r="S14" s="72">
        <f>Założenia!S201+Założenia!S211</f>
        <v>779525.58472393686</v>
      </c>
      <c r="T14" s="72">
        <f>Założenia!T201+Założenia!T211</f>
        <v>787320.84057117626</v>
      </c>
    </row>
    <row r="15" spans="1:20">
      <c r="A15" s="3" t="s">
        <v>41</v>
      </c>
      <c r="B15" s="299" t="s">
        <v>42</v>
      </c>
      <c r="C15" s="299"/>
      <c r="D15" s="3" t="s">
        <v>16</v>
      </c>
      <c r="E15" s="152">
        <f>Założenia!E52</f>
        <v>0</v>
      </c>
      <c r="F15" s="152">
        <f>Założenia!F52</f>
        <v>0</v>
      </c>
      <c r="G15" s="72">
        <f>Założenia!G52</f>
        <v>9853369.5800000001</v>
      </c>
      <c r="H15" s="72">
        <f>Założenia!H52</f>
        <v>10516152.199999999</v>
      </c>
      <c r="I15" s="72">
        <f>Założenia!I202+Założenia!I212</f>
        <v>10621313.721999999</v>
      </c>
      <c r="J15" s="72">
        <f>Założenia!J202+Założenia!J212</f>
        <v>10727526.85922</v>
      </c>
      <c r="K15" s="72">
        <f>Założenia!K202+Założenia!K212</f>
        <v>10834802.127812199</v>
      </c>
      <c r="L15" s="72">
        <f>Założenia!L202+Założenia!L212</f>
        <v>10943150.149090322</v>
      </c>
      <c r="M15" s="72">
        <f>Założenia!M202+Założenia!M212</f>
        <v>11052581.650581226</v>
      </c>
      <c r="N15" s="72">
        <f>Założenia!N202+Założenia!N212</f>
        <v>11163107.467087038</v>
      </c>
      <c r="O15" s="72">
        <f>Założenia!O202+Założenia!O212</f>
        <v>11274738.541757908</v>
      </c>
      <c r="P15" s="72">
        <f>Założenia!P202+Założenia!P212</f>
        <v>11387485.927175486</v>
      </c>
      <c r="Q15" s="72">
        <f>Założenia!Q202+Założenia!Q212</f>
        <v>11501360.786447242</v>
      </c>
      <c r="R15" s="72">
        <f>Założenia!R202+Założenia!R212</f>
        <v>11616374.394311715</v>
      </c>
      <c r="S15" s="72">
        <f>Założenia!S202+Założenia!S212</f>
        <v>11732538.138254832</v>
      </c>
      <c r="T15" s="72">
        <f>Założenia!T202+Założenia!T212</f>
        <v>11849863.519637382</v>
      </c>
    </row>
    <row r="16" spans="1:20">
      <c r="A16" s="3" t="s">
        <v>43</v>
      </c>
      <c r="B16" s="299" t="s">
        <v>44</v>
      </c>
      <c r="C16" s="299"/>
      <c r="D16" s="3" t="s">
        <v>16</v>
      </c>
      <c r="E16" s="152">
        <f>Założenia!E53</f>
        <v>0</v>
      </c>
      <c r="F16" s="152">
        <f>Założenia!F53</f>
        <v>0</v>
      </c>
      <c r="G16" s="72">
        <f>Założenia!G53</f>
        <v>2549998.92</v>
      </c>
      <c r="H16" s="72">
        <f>Założenia!H53</f>
        <v>2743581.93</v>
      </c>
      <c r="I16" s="72">
        <f>Założenia!I203+Założenia!I213</f>
        <v>2771017.7493000003</v>
      </c>
      <c r="J16" s="72">
        <f>Założenia!J203+Założenia!J213</f>
        <v>2798727.9267930002</v>
      </c>
      <c r="K16" s="72">
        <f>Założenia!K203+Założenia!K213</f>
        <v>2826715.2060609302</v>
      </c>
      <c r="L16" s="72">
        <f>Założenia!L203+Założenia!L213</f>
        <v>2854982.3581215395</v>
      </c>
      <c r="M16" s="72">
        <f>Założenia!M203+Założenia!M213</f>
        <v>2883532.1817027549</v>
      </c>
      <c r="N16" s="72">
        <f>Założenia!N203+Założenia!N213</f>
        <v>2912367.5035197823</v>
      </c>
      <c r="O16" s="72">
        <f>Założenia!O203+Założenia!O213</f>
        <v>2941491.1785549801</v>
      </c>
      <c r="P16" s="72">
        <f>Założenia!P203+Założenia!P213</f>
        <v>2970906.09034053</v>
      </c>
      <c r="Q16" s="72">
        <f>Założenia!Q203+Założenia!Q213</f>
        <v>3000615.1512439353</v>
      </c>
      <c r="R16" s="72">
        <f>Założenia!R203+Założenia!R213</f>
        <v>3030621.3027563747</v>
      </c>
      <c r="S16" s="72">
        <f>Założenia!S203+Założenia!S213</f>
        <v>3060927.5157839386</v>
      </c>
      <c r="T16" s="72">
        <f>Założenia!T203+Założenia!T213</f>
        <v>3091536.7909417781</v>
      </c>
    </row>
    <row r="17" spans="1:20">
      <c r="A17" s="3" t="s">
        <v>45</v>
      </c>
      <c r="B17" s="299" t="s">
        <v>46</v>
      </c>
      <c r="C17" s="299"/>
      <c r="D17" s="3" t="s">
        <v>16</v>
      </c>
      <c r="E17" s="152">
        <f>Założenia!E54</f>
        <v>0</v>
      </c>
      <c r="F17" s="152">
        <f>Założenia!F54</f>
        <v>0</v>
      </c>
      <c r="G17" s="72">
        <f>Założenia!G54</f>
        <v>475043.17</v>
      </c>
      <c r="H17" s="72">
        <f>Założenia!H54</f>
        <v>521958.83</v>
      </c>
      <c r="I17" s="72">
        <f>Założenia!I204+Założenia!I214</f>
        <v>527178.41830000002</v>
      </c>
      <c r="J17" s="72">
        <f>Założenia!J204+Założenia!J214</f>
        <v>532450.202483</v>
      </c>
      <c r="K17" s="72">
        <f>Założenia!K204+Założenia!K214</f>
        <v>537774.70450782997</v>
      </c>
      <c r="L17" s="72">
        <f>Założenia!L204+Założenia!L214</f>
        <v>543152.45155290829</v>
      </c>
      <c r="M17" s="72">
        <f>Założenia!M204+Założenia!M214</f>
        <v>548583.97606843733</v>
      </c>
      <c r="N17" s="72">
        <f>Założenia!N204+Założenia!N214</f>
        <v>554069.81582912174</v>
      </c>
      <c r="O17" s="72">
        <f>Założenia!O204+Założenia!O214</f>
        <v>559610.51398741291</v>
      </c>
      <c r="P17" s="72">
        <f>Założenia!P204+Założenia!P214</f>
        <v>565206.61912728706</v>
      </c>
      <c r="Q17" s="72">
        <f>Założenia!Q204+Założenia!Q214</f>
        <v>570858.68531855999</v>
      </c>
      <c r="R17" s="72">
        <f>Założenia!R204+Założenia!R214</f>
        <v>576567.27217174554</v>
      </c>
      <c r="S17" s="72">
        <f>Założenia!S204+Założenia!S214</f>
        <v>582332.94489346305</v>
      </c>
      <c r="T17" s="72">
        <f>Założenia!T204+Założenia!T214</f>
        <v>588156.27434239769</v>
      </c>
    </row>
    <row r="18" spans="1:20">
      <c r="A18" s="3" t="s">
        <v>47</v>
      </c>
      <c r="B18" s="299" t="s">
        <v>48</v>
      </c>
      <c r="C18" s="299"/>
      <c r="D18" s="3">
        <v>0</v>
      </c>
      <c r="E18" s="152">
        <f>Założenia!E55</f>
        <v>0</v>
      </c>
      <c r="F18" s="152">
        <f>Założenia!F55</f>
        <v>0</v>
      </c>
      <c r="G18" s="72">
        <f>Założenia!G55</f>
        <v>36050.879999999997</v>
      </c>
      <c r="H18" s="72">
        <f>Założenia!H55</f>
        <v>1097.74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s="14" customFormat="1">
      <c r="A19" s="15" t="s">
        <v>49</v>
      </c>
      <c r="B19" s="306" t="s">
        <v>50</v>
      </c>
      <c r="C19" s="306"/>
      <c r="D19" s="15" t="s">
        <v>16</v>
      </c>
      <c r="E19" s="96">
        <f>E5-E10</f>
        <v>0</v>
      </c>
      <c r="F19" s="96">
        <f t="shared" ref="F19:S19" si="7">F5-F10</f>
        <v>0</v>
      </c>
      <c r="G19" s="76">
        <f t="shared" si="7"/>
        <v>-1297160.6300000027</v>
      </c>
      <c r="H19" s="76">
        <f t="shared" si="7"/>
        <v>-1162016.979999993</v>
      </c>
      <c r="I19" s="76">
        <f t="shared" si="7"/>
        <v>-1091228.0777999982</v>
      </c>
      <c r="J19" s="76">
        <f t="shared" si="7"/>
        <v>-1017694.5067779981</v>
      </c>
      <c r="K19" s="76">
        <f t="shared" si="7"/>
        <v>-4151628.2011957839</v>
      </c>
      <c r="L19" s="76">
        <f t="shared" si="7"/>
        <v>-4331962.5104192384</v>
      </c>
      <c r="M19" s="76">
        <f t="shared" si="7"/>
        <v>-4354236.6244349331</v>
      </c>
      <c r="N19" s="76">
        <f t="shared" si="7"/>
        <v>-4534655.9708907828</v>
      </c>
      <c r="O19" s="76">
        <f t="shared" si="7"/>
        <v>-4501565.6864111945</v>
      </c>
      <c r="P19" s="76">
        <f t="shared" si="7"/>
        <v>-4422360.4578868002</v>
      </c>
      <c r="Q19" s="76">
        <f t="shared" si="7"/>
        <v>-4297117.2307891659</v>
      </c>
      <c r="R19" s="76">
        <f t="shared" si="7"/>
        <v>-4397519.2405105643</v>
      </c>
      <c r="S19" s="76">
        <f t="shared" si="7"/>
        <v>-4496550.5057291649</v>
      </c>
      <c r="T19" s="76">
        <f t="shared" ref="T19" si="8">T5-T10</f>
        <v>-4595430.815799959</v>
      </c>
    </row>
    <row r="20" spans="1:20" s="14" customFormat="1">
      <c r="A20" s="13" t="s">
        <v>51</v>
      </c>
      <c r="B20" s="302" t="s">
        <v>52</v>
      </c>
      <c r="C20" s="302"/>
      <c r="D20" s="13" t="s">
        <v>16</v>
      </c>
      <c r="E20" s="95">
        <f>Założenia!E57</f>
        <v>0</v>
      </c>
      <c r="F20" s="95">
        <f>Założenia!F57</f>
        <v>0</v>
      </c>
      <c r="G20" s="75">
        <f>Założenia!G57</f>
        <v>2601378.09</v>
      </c>
      <c r="H20" s="75">
        <f>Założenia!H57</f>
        <v>2825797.29</v>
      </c>
      <c r="I20" s="75">
        <f>H20</f>
        <v>2825797.29</v>
      </c>
      <c r="J20" s="75">
        <f>I20+Obliczenia!J80</f>
        <v>2825797.29</v>
      </c>
      <c r="K20" s="75">
        <f>$J$20+Obliczenia!K80</f>
        <v>6837245</v>
      </c>
      <c r="L20" s="75">
        <f>$J$20+Obliczenia!L80</f>
        <v>6837245</v>
      </c>
      <c r="M20" s="75">
        <f>$J$20+Obliczenia!M80</f>
        <v>6837245</v>
      </c>
      <c r="N20" s="75">
        <f>$J$20+Obliczenia!N80</f>
        <v>6837245</v>
      </c>
      <c r="O20" s="75">
        <f>$J$20+Obliczenia!O80</f>
        <v>6837245</v>
      </c>
      <c r="P20" s="75">
        <f>$J$20+Obliczenia!P80</f>
        <v>6654710.1299999999</v>
      </c>
      <c r="Q20" s="75">
        <f>$J$20+Obliczenia!Q80</f>
        <v>6426541.54</v>
      </c>
      <c r="R20" s="75">
        <f>$J$20+Obliczenia!R80</f>
        <v>6426541.54</v>
      </c>
      <c r="S20" s="75">
        <f>$J$20+Obliczenia!S80</f>
        <v>6426541.54</v>
      </c>
      <c r="T20" s="75">
        <f>$J$20+Obliczenia!T80</f>
        <v>6426541.54</v>
      </c>
    </row>
    <row r="21" spans="1:20">
      <c r="A21" s="3" t="s">
        <v>10</v>
      </c>
      <c r="B21" s="300" t="s">
        <v>280</v>
      </c>
      <c r="C21" s="299"/>
      <c r="D21" s="3" t="s">
        <v>16</v>
      </c>
      <c r="E21" s="152">
        <f>Założenia!E58</f>
        <v>0</v>
      </c>
      <c r="F21" s="152">
        <f>Założenia!F58</f>
        <v>0</v>
      </c>
      <c r="G21" s="72">
        <f>Założenia!G58</f>
        <v>0</v>
      </c>
      <c r="H21" s="72">
        <f>Założenia!H58</f>
        <v>0</v>
      </c>
      <c r="I21" s="72">
        <v>0</v>
      </c>
      <c r="J21" s="72">
        <f>Obliczenia!J80</f>
        <v>0</v>
      </c>
      <c r="K21" s="72">
        <f>Obliczenia!K80</f>
        <v>4011447.71</v>
      </c>
      <c r="L21" s="72">
        <f>Obliczenia!L80</f>
        <v>4011447.71</v>
      </c>
      <c r="M21" s="72">
        <f>Obliczenia!M80</f>
        <v>4011447.71</v>
      </c>
      <c r="N21" s="72">
        <f>Obliczenia!N80</f>
        <v>4011447.71</v>
      </c>
      <c r="O21" s="72">
        <f>Obliczenia!O80</f>
        <v>4011447.71</v>
      </c>
      <c r="P21" s="72">
        <f>Obliczenia!P80</f>
        <v>3828912.84</v>
      </c>
      <c r="Q21" s="72">
        <f>Obliczenia!Q80</f>
        <v>3600744.25</v>
      </c>
      <c r="R21" s="72">
        <f>Obliczenia!R80</f>
        <v>3600744.25</v>
      </c>
      <c r="S21" s="72">
        <f>Obliczenia!S80</f>
        <v>3600744.25</v>
      </c>
      <c r="T21" s="72">
        <f>Obliczenia!T80</f>
        <v>3600744.25</v>
      </c>
    </row>
    <row r="22" spans="1:20" s="14" customFormat="1">
      <c r="A22" s="13" t="s">
        <v>53</v>
      </c>
      <c r="B22" s="302" t="s">
        <v>54</v>
      </c>
      <c r="C22" s="302"/>
      <c r="D22" s="13" t="s">
        <v>16</v>
      </c>
      <c r="E22" s="95">
        <f>Założenia!E59</f>
        <v>0</v>
      </c>
      <c r="F22" s="95">
        <f>Założenia!F59</f>
        <v>0</v>
      </c>
      <c r="G22" s="75">
        <f>Założenia!G59</f>
        <v>707809.68</v>
      </c>
      <c r="H22" s="75">
        <f>Założenia!H59</f>
        <v>1041245.8200000001</v>
      </c>
      <c r="I22" s="75">
        <f>H22</f>
        <v>1041245.8200000001</v>
      </c>
      <c r="J22" s="75">
        <f t="shared" ref="J22:T22" si="9">I22</f>
        <v>1041245.8200000001</v>
      </c>
      <c r="K22" s="75">
        <f t="shared" si="9"/>
        <v>1041245.8200000001</v>
      </c>
      <c r="L22" s="75">
        <f t="shared" si="9"/>
        <v>1041245.8200000001</v>
      </c>
      <c r="M22" s="75">
        <f t="shared" si="9"/>
        <v>1041245.8200000001</v>
      </c>
      <c r="N22" s="75">
        <f t="shared" si="9"/>
        <v>1041245.8200000001</v>
      </c>
      <c r="O22" s="75">
        <f t="shared" si="9"/>
        <v>1041245.8200000001</v>
      </c>
      <c r="P22" s="75">
        <f t="shared" si="9"/>
        <v>1041245.8200000001</v>
      </c>
      <c r="Q22" s="75">
        <f t="shared" si="9"/>
        <v>1041245.8200000001</v>
      </c>
      <c r="R22" s="75">
        <f t="shared" si="9"/>
        <v>1041245.8200000001</v>
      </c>
      <c r="S22" s="75">
        <f t="shared" si="9"/>
        <v>1041245.8200000001</v>
      </c>
      <c r="T22" s="75">
        <f t="shared" si="9"/>
        <v>1041245.8200000001</v>
      </c>
    </row>
    <row r="23" spans="1:20" s="14" customFormat="1">
      <c r="A23" s="15" t="s">
        <v>55</v>
      </c>
      <c r="B23" s="306" t="s">
        <v>56</v>
      </c>
      <c r="C23" s="306"/>
      <c r="D23" s="15" t="s">
        <v>16</v>
      </c>
      <c r="E23" s="96">
        <f>E19+E20-E22</f>
        <v>0</v>
      </c>
      <c r="F23" s="96">
        <f t="shared" ref="F23:T23" si="10">F19+F20-F22</f>
        <v>0</v>
      </c>
      <c r="G23" s="76">
        <f t="shared" si="10"/>
        <v>596407.77999999712</v>
      </c>
      <c r="H23" s="76">
        <f t="shared" si="10"/>
        <v>622534.49000000698</v>
      </c>
      <c r="I23" s="76">
        <f t="shared" si="10"/>
        <v>693323.39220000175</v>
      </c>
      <c r="J23" s="76">
        <f t="shared" si="10"/>
        <v>766856.96322200191</v>
      </c>
      <c r="K23" s="76">
        <f t="shared" si="10"/>
        <v>1644370.978804216</v>
      </c>
      <c r="L23" s="76">
        <f t="shared" si="10"/>
        <v>1464036.6695807616</v>
      </c>
      <c r="M23" s="76">
        <f t="shared" si="10"/>
        <v>1441762.5555650669</v>
      </c>
      <c r="N23" s="76">
        <f t="shared" si="10"/>
        <v>1261343.2091092172</v>
      </c>
      <c r="O23" s="76">
        <f t="shared" si="10"/>
        <v>1294433.4935888054</v>
      </c>
      <c r="P23" s="76">
        <f t="shared" si="10"/>
        <v>1191103.8521131997</v>
      </c>
      <c r="Q23" s="76">
        <f t="shared" si="10"/>
        <v>1088178.489210834</v>
      </c>
      <c r="R23" s="76">
        <f t="shared" si="10"/>
        <v>987776.47948943567</v>
      </c>
      <c r="S23" s="76">
        <f t="shared" si="10"/>
        <v>888745.21427083504</v>
      </c>
      <c r="T23" s="76">
        <f t="shared" si="10"/>
        <v>789864.90420004097</v>
      </c>
    </row>
    <row r="24" spans="1:20" s="14" customFormat="1">
      <c r="A24" s="13" t="s">
        <v>57</v>
      </c>
      <c r="B24" s="302" t="s">
        <v>58</v>
      </c>
      <c r="C24" s="302"/>
      <c r="D24" s="13" t="s">
        <v>16</v>
      </c>
      <c r="E24" s="95">
        <f>Założenia!E61</f>
        <v>0</v>
      </c>
      <c r="F24" s="95">
        <f>Założenia!F61</f>
        <v>0</v>
      </c>
      <c r="G24" s="75">
        <f>Założenia!G61</f>
        <v>35093.21</v>
      </c>
      <c r="H24" s="75">
        <f>Założenia!H61</f>
        <v>167585.85999999999</v>
      </c>
      <c r="I24" s="75">
        <f>ROUND((H24+G24)/2,2)</f>
        <v>101339.54</v>
      </c>
      <c r="J24" s="75">
        <f>I24</f>
        <v>101339.54</v>
      </c>
      <c r="K24" s="75">
        <f t="shared" ref="K24:T24" si="11">J24</f>
        <v>101339.54</v>
      </c>
      <c r="L24" s="75">
        <f t="shared" si="11"/>
        <v>101339.54</v>
      </c>
      <c r="M24" s="75">
        <f t="shared" si="11"/>
        <v>101339.54</v>
      </c>
      <c r="N24" s="75">
        <f t="shared" si="11"/>
        <v>101339.54</v>
      </c>
      <c r="O24" s="75">
        <f t="shared" si="11"/>
        <v>101339.54</v>
      </c>
      <c r="P24" s="75">
        <f t="shared" si="11"/>
        <v>101339.54</v>
      </c>
      <c r="Q24" s="75">
        <f t="shared" si="11"/>
        <v>101339.54</v>
      </c>
      <c r="R24" s="75">
        <f t="shared" si="11"/>
        <v>101339.54</v>
      </c>
      <c r="S24" s="75">
        <f t="shared" si="11"/>
        <v>101339.54</v>
      </c>
      <c r="T24" s="75">
        <f t="shared" si="11"/>
        <v>101339.54</v>
      </c>
    </row>
    <row r="25" spans="1:20" s="14" customFormat="1">
      <c r="A25" s="13" t="s">
        <v>59</v>
      </c>
      <c r="B25" s="302" t="s">
        <v>60</v>
      </c>
      <c r="C25" s="302"/>
      <c r="D25" s="13" t="s">
        <v>16</v>
      </c>
      <c r="E25" s="95">
        <f>Założenia!E62</f>
        <v>0</v>
      </c>
      <c r="F25" s="95">
        <f>Założenia!F62</f>
        <v>0</v>
      </c>
      <c r="G25" s="75">
        <f>Założenia!G62</f>
        <v>135280.84</v>
      </c>
      <c r="H25" s="75">
        <f>Założenia!H62</f>
        <v>97263.2</v>
      </c>
      <c r="I25" s="75">
        <f>Wyniki_kredyty!I41</f>
        <v>13546.64</v>
      </c>
      <c r="J25" s="75">
        <f>Wyniki_kredyty!J41</f>
        <v>71956.2</v>
      </c>
      <c r="K25" s="75">
        <f>Wyniki_kredyty!K41</f>
        <v>746002</v>
      </c>
      <c r="L25" s="75">
        <f>Wyniki_kredyty!L41</f>
        <v>548434</v>
      </c>
      <c r="M25" s="75">
        <f>Wyniki_kredyty!M41</f>
        <v>588797</v>
      </c>
      <c r="N25" s="75">
        <f>Wyniki_kredyty!N41</f>
        <v>577481</v>
      </c>
      <c r="O25" s="75">
        <f>Wyniki_kredyty!O41</f>
        <v>595907</v>
      </c>
      <c r="P25" s="75">
        <f>Wyniki_kredyty!P41</f>
        <v>488333</v>
      </c>
      <c r="Q25" s="75">
        <f>Wyniki_kredyty!Q41</f>
        <v>381913</v>
      </c>
      <c r="R25" s="75">
        <f>Wyniki_kredyty!R41</f>
        <v>273185</v>
      </c>
      <c r="S25" s="75">
        <f>Wyniki_kredyty!S41</f>
        <v>165610</v>
      </c>
      <c r="T25" s="75">
        <f>Wyniki_kredyty!T41</f>
        <v>58036</v>
      </c>
    </row>
    <row r="26" spans="1:20">
      <c r="A26" s="3" t="s">
        <v>10</v>
      </c>
      <c r="B26" s="300" t="s">
        <v>281</v>
      </c>
      <c r="C26" s="299"/>
      <c r="D26" s="3" t="s">
        <v>16</v>
      </c>
      <c r="E26" s="152">
        <f>Założenia!E63</f>
        <v>0</v>
      </c>
      <c r="F26" s="152">
        <f>Założenia!F63</f>
        <v>0</v>
      </c>
      <c r="G26" s="72">
        <f>Założenia!G63</f>
        <v>0</v>
      </c>
      <c r="H26" s="72">
        <f>Założenia!H63</f>
        <v>0</v>
      </c>
      <c r="I26" s="72">
        <f>Obliczenia!I101</f>
        <v>0</v>
      </c>
      <c r="J26" s="72">
        <f>Wyniki_kredyty!J31+Wyniki_kredyty!J21</f>
        <v>67410</v>
      </c>
      <c r="K26" s="72">
        <f>Wyniki_kredyty!K31+Wyniki_kredyty!K21</f>
        <v>746002</v>
      </c>
      <c r="L26" s="72">
        <f>Wyniki_kredyty!L31+Wyniki_kredyty!L21</f>
        <v>548434</v>
      </c>
      <c r="M26" s="72">
        <f>Wyniki_kredyty!M31+Wyniki_kredyty!M21</f>
        <v>588797</v>
      </c>
      <c r="N26" s="72">
        <f>Wyniki_kredyty!N31+Wyniki_kredyty!N21</f>
        <v>577481</v>
      </c>
      <c r="O26" s="72">
        <f>Wyniki_kredyty!O31+Wyniki_kredyty!O21</f>
        <v>595907</v>
      </c>
      <c r="P26" s="72">
        <f>Wyniki_kredyty!P31+Wyniki_kredyty!P21</f>
        <v>488333</v>
      </c>
      <c r="Q26" s="72">
        <f>Wyniki_kredyty!Q31+Wyniki_kredyty!Q21</f>
        <v>381913</v>
      </c>
      <c r="R26" s="72">
        <f>Wyniki_kredyty!R31+Wyniki_kredyty!R21</f>
        <v>273185</v>
      </c>
      <c r="S26" s="72">
        <f>Wyniki_kredyty!S31+Wyniki_kredyty!S21</f>
        <v>165610</v>
      </c>
      <c r="T26" s="72">
        <f>Wyniki_kredyty!T31+Wyniki_kredyty!T21</f>
        <v>58036</v>
      </c>
    </row>
    <row r="27" spans="1:20" s="14" customFormat="1">
      <c r="A27" s="15" t="s">
        <v>1</v>
      </c>
      <c r="B27" s="306" t="s">
        <v>61</v>
      </c>
      <c r="C27" s="306"/>
      <c r="D27" s="15" t="s">
        <v>16</v>
      </c>
      <c r="E27" s="96">
        <f>E23+E24-E25</f>
        <v>0</v>
      </c>
      <c r="F27" s="96">
        <f t="shared" ref="F27:T27" si="12">F23+F24-F25</f>
        <v>0</v>
      </c>
      <c r="G27" s="76">
        <f t="shared" si="12"/>
        <v>496220.14999999711</v>
      </c>
      <c r="H27" s="76">
        <f t="shared" si="12"/>
        <v>692857.15000000701</v>
      </c>
      <c r="I27" s="76">
        <f t="shared" si="12"/>
        <v>781116.29220000177</v>
      </c>
      <c r="J27" s="76">
        <f t="shared" si="12"/>
        <v>796240.303222002</v>
      </c>
      <c r="K27" s="76">
        <f t="shared" si="12"/>
        <v>999708.51880421606</v>
      </c>
      <c r="L27" s="76">
        <f t="shared" si="12"/>
        <v>1016942.2095807616</v>
      </c>
      <c r="M27" s="76">
        <f t="shared" si="12"/>
        <v>954305.09556506691</v>
      </c>
      <c r="N27" s="76">
        <f t="shared" si="12"/>
        <v>785201.7491092172</v>
      </c>
      <c r="O27" s="76">
        <f t="shared" si="12"/>
        <v>799866.03358880547</v>
      </c>
      <c r="P27" s="76">
        <f t="shared" si="12"/>
        <v>804110.39211319969</v>
      </c>
      <c r="Q27" s="76">
        <f t="shared" si="12"/>
        <v>807605.02921083407</v>
      </c>
      <c r="R27" s="76">
        <f t="shared" si="12"/>
        <v>815931.01948943571</v>
      </c>
      <c r="S27" s="76">
        <f t="shared" si="12"/>
        <v>824474.75427083508</v>
      </c>
      <c r="T27" s="76">
        <f t="shared" si="12"/>
        <v>833168.44420004101</v>
      </c>
    </row>
    <row r="28" spans="1:20" s="14" customFormat="1">
      <c r="A28" s="13" t="s">
        <v>62</v>
      </c>
      <c r="B28" s="302" t="s">
        <v>63</v>
      </c>
      <c r="C28" s="302"/>
      <c r="D28" s="13" t="s">
        <v>16</v>
      </c>
      <c r="E28" s="95">
        <f>Założenia!E65</f>
        <v>0</v>
      </c>
      <c r="F28" s="95">
        <f>Założenia!F65</f>
        <v>0</v>
      </c>
      <c r="G28" s="75">
        <f>Założenia!G65</f>
        <v>0</v>
      </c>
      <c r="H28" s="75">
        <f>Założenia!H65</f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</row>
    <row r="29" spans="1:20" s="14" customFormat="1">
      <c r="A29" s="15" t="s">
        <v>64</v>
      </c>
      <c r="B29" s="306" t="s">
        <v>65</v>
      </c>
      <c r="C29" s="306"/>
      <c r="D29" s="15" t="s">
        <v>16</v>
      </c>
      <c r="E29" s="96">
        <f>E27-E28</f>
        <v>0</v>
      </c>
      <c r="F29" s="96">
        <f t="shared" ref="F29:T29" si="13">F27-F28</f>
        <v>0</v>
      </c>
      <c r="G29" s="76">
        <f t="shared" si="13"/>
        <v>496220.14999999711</v>
      </c>
      <c r="H29" s="76">
        <f t="shared" si="13"/>
        <v>692857.15000000701</v>
      </c>
      <c r="I29" s="76">
        <f t="shared" si="13"/>
        <v>781116.29220000177</v>
      </c>
      <c r="J29" s="76">
        <f t="shared" si="13"/>
        <v>796240.303222002</v>
      </c>
      <c r="K29" s="76">
        <f t="shared" si="13"/>
        <v>999708.51880421606</v>
      </c>
      <c r="L29" s="76">
        <f t="shared" si="13"/>
        <v>1016942.2095807616</v>
      </c>
      <c r="M29" s="76">
        <f t="shared" si="13"/>
        <v>954305.09556506691</v>
      </c>
      <c r="N29" s="76">
        <f t="shared" si="13"/>
        <v>785201.7491092172</v>
      </c>
      <c r="O29" s="76">
        <f t="shared" si="13"/>
        <v>799866.03358880547</v>
      </c>
      <c r="P29" s="76">
        <f t="shared" si="13"/>
        <v>804110.39211319969</v>
      </c>
      <c r="Q29" s="76">
        <f t="shared" si="13"/>
        <v>807605.02921083407</v>
      </c>
      <c r="R29" s="76">
        <f t="shared" si="13"/>
        <v>815931.01948943571</v>
      </c>
      <c r="S29" s="76">
        <f t="shared" si="13"/>
        <v>824474.75427083508</v>
      </c>
      <c r="T29" s="76">
        <f t="shared" si="13"/>
        <v>833168.44420004101</v>
      </c>
    </row>
    <row r="30" spans="1:20" s="14" customFormat="1">
      <c r="A30" s="13" t="s">
        <v>66</v>
      </c>
      <c r="B30" s="302" t="s">
        <v>67</v>
      </c>
      <c r="C30" s="302"/>
      <c r="D30" s="13" t="s">
        <v>16</v>
      </c>
      <c r="E30" s="95">
        <f>Założenia!E67</f>
        <v>0</v>
      </c>
      <c r="F30" s="95">
        <f>Założenia!F67</f>
        <v>0</v>
      </c>
      <c r="G30" s="75">
        <f>Założenia!G67</f>
        <v>-30599</v>
      </c>
      <c r="H30" s="75">
        <f>Założenia!H67</f>
        <v>171434</v>
      </c>
      <c r="I30" s="75">
        <f>IF(I29&gt;0,ROUND(19%*I29,0),0)</f>
        <v>148412</v>
      </c>
      <c r="J30" s="75">
        <f t="shared" ref="J30:T30" si="14">IF(J29&gt;0,ROUND(19%*J29,0),0)</f>
        <v>151286</v>
      </c>
      <c r="K30" s="75">
        <f t="shared" si="14"/>
        <v>189945</v>
      </c>
      <c r="L30" s="75">
        <f t="shared" si="14"/>
        <v>193219</v>
      </c>
      <c r="M30" s="75">
        <f t="shared" si="14"/>
        <v>181318</v>
      </c>
      <c r="N30" s="75">
        <f t="shared" si="14"/>
        <v>149188</v>
      </c>
      <c r="O30" s="75">
        <f t="shared" si="14"/>
        <v>151975</v>
      </c>
      <c r="P30" s="75">
        <f t="shared" si="14"/>
        <v>152781</v>
      </c>
      <c r="Q30" s="75">
        <f t="shared" si="14"/>
        <v>153445</v>
      </c>
      <c r="R30" s="75">
        <f t="shared" si="14"/>
        <v>155027</v>
      </c>
      <c r="S30" s="75">
        <f t="shared" si="14"/>
        <v>156650</v>
      </c>
      <c r="T30" s="75">
        <f t="shared" si="14"/>
        <v>158302</v>
      </c>
    </row>
    <row r="31" spans="1:20" s="14" customFormat="1">
      <c r="A31" s="13" t="s">
        <v>68</v>
      </c>
      <c r="B31" s="302" t="s">
        <v>69</v>
      </c>
      <c r="C31" s="302"/>
      <c r="D31" s="13" t="s">
        <v>16</v>
      </c>
      <c r="E31" s="95">
        <f>Założenia!E68</f>
        <v>0</v>
      </c>
      <c r="F31" s="95">
        <f>Założenia!F68</f>
        <v>0</v>
      </c>
      <c r="G31" s="75">
        <f>Założenia!G68</f>
        <v>0</v>
      </c>
      <c r="H31" s="75">
        <f>Założenia!H68</f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</row>
    <row r="32" spans="1:20" s="14" customFormat="1" ht="13.2" customHeight="1">
      <c r="A32" s="15" t="s">
        <v>70</v>
      </c>
      <c r="B32" s="306" t="s">
        <v>71</v>
      </c>
      <c r="C32" s="306"/>
      <c r="D32" s="15" t="s">
        <v>16</v>
      </c>
      <c r="E32" s="96">
        <f>E29-E30-E31</f>
        <v>0</v>
      </c>
      <c r="F32" s="96">
        <f t="shared" ref="F32:T32" si="15">F29-F30-F31</f>
        <v>0</v>
      </c>
      <c r="G32" s="76">
        <f t="shared" si="15"/>
        <v>526819.14999999711</v>
      </c>
      <c r="H32" s="76">
        <f t="shared" si="15"/>
        <v>521423.15000000701</v>
      </c>
      <c r="I32" s="76">
        <f t="shared" si="15"/>
        <v>632704.29220000177</v>
      </c>
      <c r="J32" s="76">
        <f t="shared" si="15"/>
        <v>644954.303222002</v>
      </c>
      <c r="K32" s="76">
        <f t="shared" si="15"/>
        <v>809763.51880421606</v>
      </c>
      <c r="L32" s="76">
        <f t="shared" si="15"/>
        <v>823723.20958076161</v>
      </c>
      <c r="M32" s="76">
        <f t="shared" si="15"/>
        <v>772987.09556506691</v>
      </c>
      <c r="N32" s="76">
        <f t="shared" si="15"/>
        <v>636013.7491092172</v>
      </c>
      <c r="O32" s="76">
        <f t="shared" si="15"/>
        <v>647891.03358880547</v>
      </c>
      <c r="P32" s="76">
        <f t="shared" si="15"/>
        <v>651329.39211319969</v>
      </c>
      <c r="Q32" s="76">
        <f t="shared" si="15"/>
        <v>654160.02921083407</v>
      </c>
      <c r="R32" s="76">
        <f t="shared" si="15"/>
        <v>660904.01948943571</v>
      </c>
      <c r="S32" s="76">
        <f t="shared" si="15"/>
        <v>667824.75427083508</v>
      </c>
      <c r="T32" s="76">
        <f t="shared" si="15"/>
        <v>674866.44420004101</v>
      </c>
    </row>
    <row r="33" spans="1:20"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12" t="s">
        <v>0</v>
      </c>
      <c r="B36" s="304" t="s">
        <v>72</v>
      </c>
      <c r="C36" s="304"/>
      <c r="D36" s="12" t="s">
        <v>13</v>
      </c>
      <c r="E36" s="103">
        <f>E$1</f>
        <v>2012</v>
      </c>
      <c r="F36" s="103">
        <f t="shared" ref="F36:T36" si="16">F$1</f>
        <v>2013</v>
      </c>
      <c r="G36" s="103">
        <f t="shared" si="16"/>
        <v>2014</v>
      </c>
      <c r="H36" s="103">
        <f t="shared" si="16"/>
        <v>2015</v>
      </c>
      <c r="I36" s="103">
        <f t="shared" si="16"/>
        <v>2016</v>
      </c>
      <c r="J36" s="103">
        <f t="shared" si="16"/>
        <v>2017</v>
      </c>
      <c r="K36" s="103">
        <f t="shared" si="16"/>
        <v>2018</v>
      </c>
      <c r="L36" s="103">
        <f t="shared" si="16"/>
        <v>2019</v>
      </c>
      <c r="M36" s="103">
        <f t="shared" si="16"/>
        <v>2020</v>
      </c>
      <c r="N36" s="103">
        <f t="shared" si="16"/>
        <v>2021</v>
      </c>
      <c r="O36" s="103">
        <f t="shared" si="16"/>
        <v>2022</v>
      </c>
      <c r="P36" s="103">
        <f t="shared" si="16"/>
        <v>2023</v>
      </c>
      <c r="Q36" s="103">
        <f t="shared" si="16"/>
        <v>2024</v>
      </c>
      <c r="R36" s="103">
        <f t="shared" si="16"/>
        <v>2025</v>
      </c>
      <c r="S36" s="103">
        <f t="shared" si="16"/>
        <v>2026</v>
      </c>
      <c r="T36" s="103">
        <f t="shared" si="16"/>
        <v>2027</v>
      </c>
    </row>
    <row r="37" spans="1:20">
      <c r="A37" s="3" t="s">
        <v>12</v>
      </c>
      <c r="B37" s="307" t="s">
        <v>26</v>
      </c>
      <c r="C37" s="307"/>
      <c r="D37" s="3" t="s">
        <v>27</v>
      </c>
      <c r="E37" s="74" t="s">
        <v>28</v>
      </c>
      <c r="F37" s="74" t="s">
        <v>139</v>
      </c>
      <c r="G37" s="74" t="s">
        <v>140</v>
      </c>
      <c r="H37" s="74" t="s">
        <v>141</v>
      </c>
      <c r="I37" s="74" t="s">
        <v>142</v>
      </c>
      <c r="J37" s="74" t="s">
        <v>143</v>
      </c>
      <c r="K37" s="74" t="s">
        <v>172</v>
      </c>
      <c r="L37" s="74" t="s">
        <v>173</v>
      </c>
      <c r="M37" s="74" t="s">
        <v>174</v>
      </c>
      <c r="N37" s="74" t="s">
        <v>175</v>
      </c>
      <c r="O37" s="74" t="s">
        <v>176</v>
      </c>
      <c r="P37" s="74" t="s">
        <v>177</v>
      </c>
      <c r="Q37" s="74" t="s">
        <v>178</v>
      </c>
      <c r="R37" s="74" t="s">
        <v>179</v>
      </c>
      <c r="S37" s="74" t="s">
        <v>180</v>
      </c>
      <c r="T37" s="74" t="s">
        <v>219</v>
      </c>
    </row>
    <row r="38" spans="1:20">
      <c r="A38" s="4" t="s">
        <v>10</v>
      </c>
      <c r="B38" s="312" t="s">
        <v>73</v>
      </c>
      <c r="C38" s="312"/>
      <c r="D38" s="5" t="s">
        <v>10</v>
      </c>
      <c r="E38" s="80" t="s">
        <v>10</v>
      </c>
      <c r="F38" s="80" t="s">
        <v>10</v>
      </c>
      <c r="G38" s="80" t="s">
        <v>10</v>
      </c>
      <c r="H38" s="80" t="s">
        <v>10</v>
      </c>
      <c r="I38" s="80" t="s">
        <v>10</v>
      </c>
      <c r="J38" s="80" t="s">
        <v>10</v>
      </c>
      <c r="K38" s="80" t="s">
        <v>10</v>
      </c>
      <c r="L38" s="80" t="s">
        <v>10</v>
      </c>
      <c r="M38" s="80" t="s">
        <v>10</v>
      </c>
      <c r="N38" s="80" t="s">
        <v>10</v>
      </c>
      <c r="O38" s="80" t="s">
        <v>10</v>
      </c>
      <c r="P38" s="80" t="s">
        <v>10</v>
      </c>
      <c r="Q38" s="80" t="s">
        <v>10</v>
      </c>
      <c r="R38" s="80" t="s">
        <v>10</v>
      </c>
      <c r="S38" s="80" t="s">
        <v>10</v>
      </c>
      <c r="T38" s="80" t="s">
        <v>10</v>
      </c>
    </row>
    <row r="39" spans="1:20" s="14" customFormat="1">
      <c r="A39" s="15" t="s">
        <v>29</v>
      </c>
      <c r="B39" s="306" t="s">
        <v>74</v>
      </c>
      <c r="C39" s="306"/>
      <c r="D39" s="15" t="s">
        <v>16</v>
      </c>
      <c r="E39" s="76">
        <f>E40+E41+E43+E44+E45</f>
        <v>0</v>
      </c>
      <c r="F39" s="76">
        <f t="shared" ref="F39:S39" si="17">F40+F41+F43+F44+F45</f>
        <v>0</v>
      </c>
      <c r="G39" s="76">
        <f t="shared" si="17"/>
        <v>23913242.34</v>
      </c>
      <c r="H39" s="76">
        <f t="shared" si="17"/>
        <v>23837327.66</v>
      </c>
      <c r="I39" s="76">
        <f>I40+I41+I43+I44+I45</f>
        <v>19902295.580000002</v>
      </c>
      <c r="J39" s="76">
        <f t="shared" si="17"/>
        <v>70365845.359999999</v>
      </c>
      <c r="K39" s="76">
        <f t="shared" si="17"/>
        <v>60744515.121150002</v>
      </c>
      <c r="L39" s="76">
        <f t="shared" si="17"/>
        <v>50857305.102300003</v>
      </c>
      <c r="M39" s="76">
        <f t="shared" si="17"/>
        <v>42275658.323450007</v>
      </c>
      <c r="N39" s="76">
        <f t="shared" si="17"/>
        <v>36724687.424599998</v>
      </c>
      <c r="O39" s="76">
        <f t="shared" si="17"/>
        <v>31173716.52575</v>
      </c>
      <c r="P39" s="76">
        <f t="shared" si="17"/>
        <v>25869585.138100002</v>
      </c>
      <c r="Q39" s="76">
        <f t="shared" si="17"/>
        <v>20874003.139449999</v>
      </c>
      <c r="R39" s="76">
        <f t="shared" si="17"/>
        <v>15878421.140799997</v>
      </c>
      <c r="S39" s="76">
        <f t="shared" si="17"/>
        <v>10882839.142149998</v>
      </c>
      <c r="T39" s="76">
        <f t="shared" ref="T39" si="18">T40+T41+T43+T44+T45</f>
        <v>5887257.1434999984</v>
      </c>
    </row>
    <row r="40" spans="1:20">
      <c r="A40" s="3" t="s">
        <v>33</v>
      </c>
      <c r="B40" s="299" t="s">
        <v>17</v>
      </c>
      <c r="C40" s="299"/>
      <c r="D40" s="3" t="s">
        <v>16</v>
      </c>
      <c r="E40" s="72">
        <f>Założenia!E77</f>
        <v>0</v>
      </c>
      <c r="F40" s="72">
        <f>Założenia!F77</f>
        <v>0</v>
      </c>
      <c r="G40" s="72">
        <f>Założenia!G77</f>
        <v>4586.17</v>
      </c>
      <c r="H40" s="72">
        <f>Założenia!H77</f>
        <v>0</v>
      </c>
      <c r="I40" s="72">
        <f>Obliczenia!I6+Obliczenia!I51+Obliczenia!I84</f>
        <v>0</v>
      </c>
      <c r="J40" s="72">
        <f>Obliczenia!J6+Obliczenia!J51+Obliczenia!J84</f>
        <v>0</v>
      </c>
      <c r="K40" s="72">
        <f>Obliczenia!K6+Obliczenia!K51+Obliczenia!K84</f>
        <v>0</v>
      </c>
      <c r="L40" s="72">
        <f>Obliczenia!L6+Obliczenia!L51+Obliczenia!L84</f>
        <v>0</v>
      </c>
      <c r="M40" s="72">
        <f>Obliczenia!M6+Obliczenia!M51+Obliczenia!M84</f>
        <v>0</v>
      </c>
      <c r="N40" s="72">
        <f>Obliczenia!N6+Obliczenia!N51+Obliczenia!N84</f>
        <v>0</v>
      </c>
      <c r="O40" s="72">
        <f>Obliczenia!O6+Obliczenia!O51+Obliczenia!O84</f>
        <v>0</v>
      </c>
      <c r="P40" s="72">
        <f>Obliczenia!P6+Obliczenia!P51+Obliczenia!P84</f>
        <v>0</v>
      </c>
      <c r="Q40" s="72">
        <f>Obliczenia!Q6+Obliczenia!Q51+Obliczenia!Q84</f>
        <v>0</v>
      </c>
      <c r="R40" s="72">
        <f>Obliczenia!R6+Obliczenia!R51+Obliczenia!R84</f>
        <v>0</v>
      </c>
      <c r="S40" s="72">
        <f>Obliczenia!S6+Obliczenia!S51+Obliczenia!S84</f>
        <v>0</v>
      </c>
      <c r="T40" s="72">
        <f>Obliczenia!T6+Obliczenia!T51+Obliczenia!T84</f>
        <v>0</v>
      </c>
    </row>
    <row r="41" spans="1:20">
      <c r="A41" s="3" t="s">
        <v>35</v>
      </c>
      <c r="B41" s="299" t="s">
        <v>75</v>
      </c>
      <c r="C41" s="299"/>
      <c r="D41" s="3" t="s">
        <v>16</v>
      </c>
      <c r="E41" s="72">
        <f>Założenia!E78</f>
        <v>0</v>
      </c>
      <c r="F41" s="72">
        <f>Założenia!F78</f>
        <v>0</v>
      </c>
      <c r="G41" s="72">
        <f>Założenia!G78</f>
        <v>23681557.969999999</v>
      </c>
      <c r="H41" s="72">
        <f>Założenia!H78</f>
        <v>23370161.489999998</v>
      </c>
      <c r="I41" s="72">
        <f>SUM(Obliczenia!I7:I11)+SUM(Obliczenia!I52:I56)+SUM(Obliczenia!I85:I89)</f>
        <v>19435129.41</v>
      </c>
      <c r="J41" s="72">
        <f>SUM(Obliczenia!J7:J11)+SUM(Obliczenia!J52:J56)+SUM(Obliczenia!J85:J89)</f>
        <v>69898679.189999998</v>
      </c>
      <c r="K41" s="72">
        <f>SUM(Obliczenia!K7:K11)+SUM(Obliczenia!K52:K56)+SUM(Obliczenia!K85:K89)</f>
        <v>60277348.95115</v>
      </c>
      <c r="L41" s="72">
        <f>SUM(Obliczenia!L7:L11)+SUM(Obliczenia!L52:L56)+SUM(Obliczenia!L85:L89)</f>
        <v>50390138.932300001</v>
      </c>
      <c r="M41" s="72">
        <f>SUM(Obliczenia!M7:M11)+SUM(Obliczenia!M52:M56)+SUM(Obliczenia!M85:M89)</f>
        <v>41808492.153450005</v>
      </c>
      <c r="N41" s="72">
        <f>SUM(Obliczenia!N7:N11)+SUM(Obliczenia!N52:N56)+SUM(Obliczenia!N85:N89)</f>
        <v>36257521.254599996</v>
      </c>
      <c r="O41" s="72">
        <f>SUM(Obliczenia!O7:O11)+SUM(Obliczenia!O52:O56)+SUM(Obliczenia!O85:O89)</f>
        <v>30706550.355749998</v>
      </c>
      <c r="P41" s="72">
        <f>SUM(Obliczenia!P7:P11)+SUM(Obliczenia!P52:P56)+SUM(Obliczenia!P85:P89)</f>
        <v>25402418.9681</v>
      </c>
      <c r="Q41" s="72">
        <f>SUM(Obliczenia!Q7:Q11)+SUM(Obliczenia!Q52:Q56)+SUM(Obliczenia!Q85:Q89)</f>
        <v>20406836.969449997</v>
      </c>
      <c r="R41" s="72">
        <f>SUM(Obliczenia!R7:R11)+SUM(Obliczenia!R52:R56)+SUM(Obliczenia!R85:R89)</f>
        <v>15411254.970799997</v>
      </c>
      <c r="S41" s="72">
        <f>SUM(Obliczenia!S7:S11)+SUM(Obliczenia!S52:S56)+SUM(Obliczenia!S85:S89)</f>
        <v>10415672.972149998</v>
      </c>
      <c r="T41" s="72">
        <f>SUM(Obliczenia!T7:T11)+SUM(Obliczenia!T52:T56)+SUM(Obliczenia!T85:T89)</f>
        <v>5420090.9734999985</v>
      </c>
    </row>
    <row r="42" spans="1:20" ht="22.95" customHeight="1">
      <c r="A42" s="3" t="s">
        <v>10</v>
      </c>
      <c r="B42" s="299" t="s">
        <v>76</v>
      </c>
      <c r="C42" s="299"/>
      <c r="D42" s="3" t="s">
        <v>16</v>
      </c>
      <c r="E42" s="72">
        <f>Założenia!E86</f>
        <v>0</v>
      </c>
      <c r="F42" s="72">
        <f>Założenia!F86</f>
        <v>0</v>
      </c>
      <c r="G42" s="72">
        <f>Założenia!G86</f>
        <v>0</v>
      </c>
      <c r="H42" s="72">
        <f>Założenia!H86</f>
        <v>0</v>
      </c>
      <c r="I42" s="72">
        <f>SUM(Obliczenia!I85:I89)</f>
        <v>261670</v>
      </c>
      <c r="J42" s="72">
        <f>SUM(Obliczenia!J85:J89)</f>
        <v>54921921.859999999</v>
      </c>
      <c r="K42" s="72">
        <f>SUM(Obliczenia!K85:K89)</f>
        <v>49497293.70115</v>
      </c>
      <c r="L42" s="72">
        <f>SUM(Obliczenia!L85:L89)</f>
        <v>44072665.542300001</v>
      </c>
      <c r="M42" s="72">
        <f>SUM(Obliczenia!M85:M89)</f>
        <v>38648037.383450001</v>
      </c>
      <c r="N42" s="72">
        <f>SUM(Obliczenia!N85:N89)</f>
        <v>33223409.224599998</v>
      </c>
      <c r="O42" s="72">
        <f>SUM(Obliczenia!O85:O89)</f>
        <v>27798781.065749999</v>
      </c>
      <c r="P42" s="72">
        <f>SUM(Obliczenia!P85:P89)</f>
        <v>22620992.418099999</v>
      </c>
      <c r="Q42" s="72">
        <f>SUM(Obliczenia!Q85:Q89)</f>
        <v>17751753.159449998</v>
      </c>
      <c r="R42" s="72">
        <f>SUM(Obliczenia!R85:R89)</f>
        <v>12882513.900799997</v>
      </c>
      <c r="S42" s="72">
        <f>SUM(Obliczenia!S85:S89)</f>
        <v>8013274.6421499979</v>
      </c>
      <c r="T42" s="72">
        <f>SUM(Obliczenia!T85:T89)</f>
        <v>3144035.3834999977</v>
      </c>
    </row>
    <row r="43" spans="1:20">
      <c r="A43" s="3" t="s">
        <v>37</v>
      </c>
      <c r="B43" s="299" t="s">
        <v>77</v>
      </c>
      <c r="C43" s="299"/>
      <c r="D43" s="3" t="s">
        <v>16</v>
      </c>
      <c r="E43" s="72">
        <f>Założenia!E87</f>
        <v>0</v>
      </c>
      <c r="F43" s="72">
        <f>Założenia!F87</f>
        <v>0</v>
      </c>
      <c r="G43" s="72">
        <f>Założenia!G87</f>
        <v>0</v>
      </c>
      <c r="H43" s="72">
        <f>Założenia!H87</f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>
      <c r="A44" s="3" t="s">
        <v>39</v>
      </c>
      <c r="B44" s="299" t="s">
        <v>78</v>
      </c>
      <c r="C44" s="299"/>
      <c r="D44" s="3" t="s">
        <v>16</v>
      </c>
      <c r="E44" s="72">
        <f>Założenia!E88</f>
        <v>0</v>
      </c>
      <c r="F44" s="72">
        <f>Założenia!F88</f>
        <v>0</v>
      </c>
      <c r="G44" s="72">
        <f>Założenia!G88</f>
        <v>226803.20000000001</v>
      </c>
      <c r="H44" s="72">
        <f>Założenia!H88</f>
        <v>272000.17</v>
      </c>
      <c r="I44" s="72">
        <f>H44</f>
        <v>272000.17</v>
      </c>
      <c r="J44" s="72">
        <f t="shared" ref="J44:T44" si="19">I44</f>
        <v>272000.17</v>
      </c>
      <c r="K44" s="72">
        <f t="shared" si="19"/>
        <v>272000.17</v>
      </c>
      <c r="L44" s="72">
        <f t="shared" si="19"/>
        <v>272000.17</v>
      </c>
      <c r="M44" s="72">
        <f t="shared" si="19"/>
        <v>272000.17</v>
      </c>
      <c r="N44" s="72">
        <f t="shared" si="19"/>
        <v>272000.17</v>
      </c>
      <c r="O44" s="72">
        <f t="shared" si="19"/>
        <v>272000.17</v>
      </c>
      <c r="P44" s="72">
        <f t="shared" si="19"/>
        <v>272000.17</v>
      </c>
      <c r="Q44" s="72">
        <f t="shared" si="19"/>
        <v>272000.17</v>
      </c>
      <c r="R44" s="72">
        <f t="shared" si="19"/>
        <v>272000.17</v>
      </c>
      <c r="S44" s="72">
        <f t="shared" si="19"/>
        <v>272000.17</v>
      </c>
      <c r="T44" s="72">
        <f t="shared" si="19"/>
        <v>272000.17</v>
      </c>
    </row>
    <row r="45" spans="1:20" ht="22.95" customHeight="1">
      <c r="A45" s="3" t="s">
        <v>41</v>
      </c>
      <c r="B45" s="299" t="s">
        <v>79</v>
      </c>
      <c r="C45" s="299"/>
      <c r="D45" s="3" t="s">
        <v>16</v>
      </c>
      <c r="E45" s="72">
        <f>Założenia!E89</f>
        <v>0</v>
      </c>
      <c r="F45" s="72">
        <f>Założenia!F89</f>
        <v>0</v>
      </c>
      <c r="G45" s="72">
        <f>Założenia!G89</f>
        <v>295</v>
      </c>
      <c r="H45" s="72">
        <f>Założenia!H89</f>
        <v>195166</v>
      </c>
      <c r="I45" s="72">
        <f>H45</f>
        <v>195166</v>
      </c>
      <c r="J45" s="72">
        <f t="shared" ref="J45:T45" si="20">I45</f>
        <v>195166</v>
      </c>
      <c r="K45" s="72">
        <f t="shared" si="20"/>
        <v>195166</v>
      </c>
      <c r="L45" s="72">
        <f t="shared" si="20"/>
        <v>195166</v>
      </c>
      <c r="M45" s="72">
        <f t="shared" si="20"/>
        <v>195166</v>
      </c>
      <c r="N45" s="72">
        <f t="shared" si="20"/>
        <v>195166</v>
      </c>
      <c r="O45" s="72">
        <f t="shared" si="20"/>
        <v>195166</v>
      </c>
      <c r="P45" s="72">
        <f t="shared" si="20"/>
        <v>195166</v>
      </c>
      <c r="Q45" s="72">
        <f t="shared" si="20"/>
        <v>195166</v>
      </c>
      <c r="R45" s="72">
        <f t="shared" si="20"/>
        <v>195166</v>
      </c>
      <c r="S45" s="72">
        <f t="shared" si="20"/>
        <v>195166</v>
      </c>
      <c r="T45" s="72">
        <f t="shared" si="20"/>
        <v>195166</v>
      </c>
    </row>
    <row r="46" spans="1:20" s="14" customFormat="1">
      <c r="A46" s="15" t="s">
        <v>31</v>
      </c>
      <c r="B46" s="306" t="s">
        <v>80</v>
      </c>
      <c r="C46" s="306"/>
      <c r="D46" s="15" t="s">
        <v>16</v>
      </c>
      <c r="E46" s="76">
        <f>E47+E48+E49+E51</f>
        <v>0</v>
      </c>
      <c r="F46" s="76">
        <f t="shared" ref="F46:S46" si="21">F47+F48+F49+F51</f>
        <v>0</v>
      </c>
      <c r="G46" s="76">
        <f t="shared" si="21"/>
        <v>10856483.720000001</v>
      </c>
      <c r="H46" s="76">
        <f t="shared" si="21"/>
        <v>3784435.66</v>
      </c>
      <c r="I46" s="76">
        <f t="shared" si="21"/>
        <v>7542809.5222000098</v>
      </c>
      <c r="J46" s="76">
        <f t="shared" si="21"/>
        <v>16862365.04542201</v>
      </c>
      <c r="K46" s="76">
        <f t="shared" si="21"/>
        <v>17422328.243076231</v>
      </c>
      <c r="L46" s="76">
        <f t="shared" si="21"/>
        <v>22513194.301506989</v>
      </c>
      <c r="M46" s="76">
        <f t="shared" si="21"/>
        <v>26247730.665922061</v>
      </c>
      <c r="N46" s="76">
        <f t="shared" si="21"/>
        <v>26814587.153881274</v>
      </c>
      <c r="O46" s="76">
        <f t="shared" si="21"/>
        <v>27393289.966320083</v>
      </c>
      <c r="P46" s="76">
        <f t="shared" si="21"/>
        <v>27773780.156083282</v>
      </c>
      <c r="Q46" s="76">
        <f t="shared" si="21"/>
        <v>28042359.833944116</v>
      </c>
      <c r="R46" s="76">
        <f t="shared" si="21"/>
        <v>28489295.442083552</v>
      </c>
      <c r="S46" s="76">
        <f t="shared" si="21"/>
        <v>28943119.56500439</v>
      </c>
      <c r="T46" s="76">
        <f t="shared" ref="T46" si="22">T47+T48+T49+T51</f>
        <v>29403953.00785448</v>
      </c>
    </row>
    <row r="47" spans="1:20">
      <c r="A47" s="3" t="s">
        <v>33</v>
      </c>
      <c r="B47" s="299" t="s">
        <v>81</v>
      </c>
      <c r="C47" s="299"/>
      <c r="D47" s="3" t="s">
        <v>16</v>
      </c>
      <c r="E47" s="72">
        <f>Założenia!E91</f>
        <v>0</v>
      </c>
      <c r="F47" s="72">
        <f>Założenia!F91</f>
        <v>0</v>
      </c>
      <c r="G47" s="72">
        <f>Założenia!G91</f>
        <v>378307.21</v>
      </c>
      <c r="H47" s="72">
        <f>Założenia!H91</f>
        <v>453375.11</v>
      </c>
      <c r="I47" s="72">
        <f>$H$47+Założenia!I226</f>
        <v>453375.11</v>
      </c>
      <c r="J47" s="72">
        <f>$H$47+Założenia!J226</f>
        <v>453375.11</v>
      </c>
      <c r="K47" s="72">
        <f>$H$47+Założenia!K226</f>
        <v>508286.07</v>
      </c>
      <c r="L47" s="72">
        <f>$H$47+Założenia!L226</f>
        <v>508069.29</v>
      </c>
      <c r="M47" s="72">
        <f>$H$47+Założenia!M226</f>
        <v>507850.33999999997</v>
      </c>
      <c r="N47" s="72">
        <f>$H$47+Założenia!N226</f>
        <v>507629.19999999995</v>
      </c>
      <c r="O47" s="72">
        <f>$H$47+Założenia!O226</f>
        <v>507405.85</v>
      </c>
      <c r="P47" s="72">
        <f>$H$47+Założenia!P226</f>
        <v>497372.05</v>
      </c>
      <c r="Q47" s="72">
        <f>$H$47+Założenia!Q226</f>
        <v>484883.94</v>
      </c>
      <c r="R47" s="72">
        <f>$H$47+Założenia!R226</f>
        <v>484653.82</v>
      </c>
      <c r="S47" s="72">
        <f>$H$47+Założenia!S226</f>
        <v>484421.39999999997</v>
      </c>
      <c r="T47" s="72">
        <f>$H$47+Założenia!T226</f>
        <v>484186.66</v>
      </c>
    </row>
    <row r="48" spans="1:20">
      <c r="A48" s="3" t="s">
        <v>35</v>
      </c>
      <c r="B48" s="299" t="s">
        <v>82</v>
      </c>
      <c r="C48" s="299"/>
      <c r="D48" s="3" t="s">
        <v>16</v>
      </c>
      <c r="E48" s="72">
        <f>Założenia!E92</f>
        <v>0</v>
      </c>
      <c r="F48" s="72">
        <f>Założenia!F92</f>
        <v>0</v>
      </c>
      <c r="G48" s="72">
        <f>Założenia!G92</f>
        <v>544631.76</v>
      </c>
      <c r="H48" s="72">
        <f>Założenia!H92</f>
        <v>655206.07999999996</v>
      </c>
      <c r="I48" s="72">
        <f>$H$48+Założenia!I225</f>
        <v>655206.07999999996</v>
      </c>
      <c r="J48" s="72">
        <f>$H$48+Założenia!J225</f>
        <v>655206.07999999996</v>
      </c>
      <c r="K48" s="72">
        <f>$H$48+Założenia!K225</f>
        <v>655791.07999999996</v>
      </c>
      <c r="L48" s="72">
        <f>$H$48+Założenia!L225</f>
        <v>656376.07999999996</v>
      </c>
      <c r="M48" s="72">
        <f>$H$48+Założenia!M225</f>
        <v>656961.07999999996</v>
      </c>
      <c r="N48" s="72">
        <f>$H$48+Założenia!N225</f>
        <v>657546.07999999996</v>
      </c>
      <c r="O48" s="72">
        <f>$H$48+Założenia!O225</f>
        <v>658131.19999999995</v>
      </c>
      <c r="P48" s="72">
        <f>$H$48+Założenia!P225</f>
        <v>658131.19999999995</v>
      </c>
      <c r="Q48" s="72">
        <f>$H$48+Założenia!Q225</f>
        <v>658131.19999999995</v>
      </c>
      <c r="R48" s="72">
        <f>$H$48+Założenia!R225</f>
        <v>658131.19999999995</v>
      </c>
      <c r="S48" s="72">
        <f>$H$48+Założenia!S225</f>
        <v>658131.19999999995</v>
      </c>
      <c r="T48" s="72">
        <f>$H$48+Założenia!T225</f>
        <v>658131.19999999995</v>
      </c>
    </row>
    <row r="49" spans="1:20">
      <c r="A49" s="3" t="s">
        <v>37</v>
      </c>
      <c r="B49" s="299" t="s">
        <v>83</v>
      </c>
      <c r="C49" s="299"/>
      <c r="D49" s="3" t="s">
        <v>16</v>
      </c>
      <c r="E49" s="72">
        <f>Założenia!E93</f>
        <v>0</v>
      </c>
      <c r="F49" s="72">
        <f>Założenia!F93</f>
        <v>0</v>
      </c>
      <c r="G49" s="72">
        <f>Założenia!G93</f>
        <v>9558616.0999999996</v>
      </c>
      <c r="H49" s="72">
        <f>Założenia!H93</f>
        <v>2314415.75</v>
      </c>
      <c r="I49" s="72">
        <f t="shared" ref="I49:T49" si="23">I110</f>
        <v>6072789.6122000106</v>
      </c>
      <c r="J49" s="72">
        <f t="shared" si="23"/>
        <v>15392345.13542201</v>
      </c>
      <c r="K49" s="72">
        <f t="shared" si="23"/>
        <v>15896812.373076234</v>
      </c>
      <c r="L49" s="72">
        <f t="shared" si="23"/>
        <v>20987310.211506989</v>
      </c>
      <c r="M49" s="72">
        <f t="shared" si="23"/>
        <v>24721480.525922064</v>
      </c>
      <c r="N49" s="72">
        <f t="shared" si="23"/>
        <v>25287973.153881274</v>
      </c>
      <c r="O49" s="72">
        <f t="shared" si="23"/>
        <v>25866314.196320083</v>
      </c>
      <c r="P49" s="72">
        <f t="shared" si="23"/>
        <v>26256838.186083283</v>
      </c>
      <c r="Q49" s="72">
        <f t="shared" si="23"/>
        <v>26537905.973944116</v>
      </c>
      <c r="R49" s="72">
        <f t="shared" si="23"/>
        <v>26985071.702083554</v>
      </c>
      <c r="S49" s="72">
        <f t="shared" si="23"/>
        <v>27439128.245004389</v>
      </c>
      <c r="T49" s="72">
        <f t="shared" si="23"/>
        <v>27900196.427854482</v>
      </c>
    </row>
    <row r="50" spans="1:20" ht="24" customHeight="1">
      <c r="A50" s="3" t="s">
        <v>10</v>
      </c>
      <c r="B50" s="299" t="s">
        <v>84</v>
      </c>
      <c r="C50" s="299"/>
      <c r="D50" s="3" t="s">
        <v>16</v>
      </c>
      <c r="E50" s="72">
        <f>Założenia!E94</f>
        <v>0</v>
      </c>
      <c r="F50" s="72">
        <f>Założenia!F94</f>
        <v>0</v>
      </c>
      <c r="G50" s="72">
        <f>Założenia!G94</f>
        <v>9558616.0999999996</v>
      </c>
      <c r="H50" s="72">
        <f>Założenia!H94</f>
        <v>2314415.75</v>
      </c>
      <c r="I50" s="72">
        <f t="shared" ref="I50:T50" si="24">I110</f>
        <v>6072789.6122000106</v>
      </c>
      <c r="J50" s="72">
        <f t="shared" si="24"/>
        <v>15392345.13542201</v>
      </c>
      <c r="K50" s="72">
        <f t="shared" si="24"/>
        <v>15896812.373076234</v>
      </c>
      <c r="L50" s="72">
        <f t="shared" si="24"/>
        <v>20987310.211506989</v>
      </c>
      <c r="M50" s="72">
        <f t="shared" si="24"/>
        <v>24721480.525922064</v>
      </c>
      <c r="N50" s="72">
        <f t="shared" si="24"/>
        <v>25287973.153881274</v>
      </c>
      <c r="O50" s="72">
        <f t="shared" si="24"/>
        <v>25866314.196320083</v>
      </c>
      <c r="P50" s="72">
        <f t="shared" si="24"/>
        <v>26256838.186083283</v>
      </c>
      <c r="Q50" s="72">
        <f t="shared" si="24"/>
        <v>26537905.973944116</v>
      </c>
      <c r="R50" s="72">
        <f t="shared" si="24"/>
        <v>26985071.702083554</v>
      </c>
      <c r="S50" s="72">
        <f t="shared" si="24"/>
        <v>27439128.245004389</v>
      </c>
      <c r="T50" s="72">
        <f t="shared" si="24"/>
        <v>27900196.427854482</v>
      </c>
    </row>
    <row r="51" spans="1:20" ht="21.6" customHeight="1">
      <c r="A51" s="3" t="s">
        <v>39</v>
      </c>
      <c r="B51" s="299" t="s">
        <v>85</v>
      </c>
      <c r="C51" s="299"/>
      <c r="D51" s="3" t="s">
        <v>16</v>
      </c>
      <c r="E51" s="72">
        <f>Założenia!E95</f>
        <v>0</v>
      </c>
      <c r="F51" s="72">
        <f>Założenia!F95</f>
        <v>0</v>
      </c>
      <c r="G51" s="72">
        <f>Założenia!G95</f>
        <v>374928.65</v>
      </c>
      <c r="H51" s="72">
        <f>Założenia!H95</f>
        <v>361438.71999999997</v>
      </c>
      <c r="I51" s="72">
        <f>H51</f>
        <v>361438.71999999997</v>
      </c>
      <c r="J51" s="72">
        <f t="shared" ref="J51:T51" si="25">I51</f>
        <v>361438.71999999997</v>
      </c>
      <c r="K51" s="72">
        <f t="shared" si="25"/>
        <v>361438.71999999997</v>
      </c>
      <c r="L51" s="72">
        <f t="shared" si="25"/>
        <v>361438.71999999997</v>
      </c>
      <c r="M51" s="72">
        <f t="shared" si="25"/>
        <v>361438.71999999997</v>
      </c>
      <c r="N51" s="72">
        <f t="shared" si="25"/>
        <v>361438.71999999997</v>
      </c>
      <c r="O51" s="72">
        <f t="shared" si="25"/>
        <v>361438.71999999997</v>
      </c>
      <c r="P51" s="72">
        <f t="shared" si="25"/>
        <v>361438.71999999997</v>
      </c>
      <c r="Q51" s="72">
        <f t="shared" si="25"/>
        <v>361438.71999999997</v>
      </c>
      <c r="R51" s="72">
        <f t="shared" si="25"/>
        <v>361438.71999999997</v>
      </c>
      <c r="S51" s="72">
        <f t="shared" si="25"/>
        <v>361438.71999999997</v>
      </c>
      <c r="T51" s="72">
        <f t="shared" si="25"/>
        <v>361438.71999999997</v>
      </c>
    </row>
    <row r="52" spans="1:20" s="14" customFormat="1">
      <c r="A52" s="15" t="s">
        <v>10</v>
      </c>
      <c r="B52" s="306" t="s">
        <v>86</v>
      </c>
      <c r="C52" s="306"/>
      <c r="D52" s="15" t="s">
        <v>16</v>
      </c>
      <c r="E52" s="76">
        <f>E39+E46</f>
        <v>0</v>
      </c>
      <c r="F52" s="76">
        <f t="shared" ref="F52:S52" si="26">F39+F46</f>
        <v>0</v>
      </c>
      <c r="G52" s="76">
        <f t="shared" si="26"/>
        <v>34769726.060000002</v>
      </c>
      <c r="H52" s="76">
        <f t="shared" si="26"/>
        <v>27621763.32</v>
      </c>
      <c r="I52" s="76">
        <f t="shared" si="26"/>
        <v>27445105.102200013</v>
      </c>
      <c r="J52" s="76">
        <f t="shared" si="26"/>
        <v>87228210.405422002</v>
      </c>
      <c r="K52" s="76">
        <f t="shared" si="26"/>
        <v>78166843.364226237</v>
      </c>
      <c r="L52" s="76">
        <f t="shared" si="26"/>
        <v>73370499.403806984</v>
      </c>
      <c r="M52" s="76">
        <f t="shared" si="26"/>
        <v>68523388.989372075</v>
      </c>
      <c r="N52" s="76">
        <f t="shared" si="26"/>
        <v>63539274.578481272</v>
      </c>
      <c r="O52" s="76">
        <f t="shared" si="26"/>
        <v>58567006.492070079</v>
      </c>
      <c r="P52" s="76">
        <f t="shared" si="26"/>
        <v>53643365.294183284</v>
      </c>
      <c r="Q52" s="76">
        <f t="shared" si="26"/>
        <v>48916362.973394111</v>
      </c>
      <c r="R52" s="76">
        <f t="shared" si="26"/>
        <v>44367716.582883552</v>
      </c>
      <c r="S52" s="76">
        <f t="shared" si="26"/>
        <v>39825958.707154386</v>
      </c>
      <c r="T52" s="76">
        <f t="shared" ref="T52" si="27">T39+T46</f>
        <v>35291210.151354477</v>
      </c>
    </row>
    <row r="53" spans="1:20">
      <c r="A53" s="4" t="s">
        <v>10</v>
      </c>
      <c r="B53" s="312" t="s">
        <v>87</v>
      </c>
      <c r="C53" s="312"/>
      <c r="D53" s="6" t="s">
        <v>10</v>
      </c>
      <c r="E53" s="80"/>
      <c r="F53" s="80" t="s">
        <v>10</v>
      </c>
      <c r="G53" s="80" t="s">
        <v>10</v>
      </c>
      <c r="H53" s="80" t="s">
        <v>10</v>
      </c>
      <c r="I53" s="80" t="s">
        <v>10</v>
      </c>
      <c r="J53" s="80" t="s">
        <v>10</v>
      </c>
      <c r="K53" s="80" t="s">
        <v>10</v>
      </c>
      <c r="L53" s="80" t="s">
        <v>10</v>
      </c>
      <c r="M53" s="80" t="s">
        <v>10</v>
      </c>
      <c r="N53" s="80" t="s">
        <v>10</v>
      </c>
      <c r="O53" s="80" t="s">
        <v>10</v>
      </c>
      <c r="P53" s="80" t="s">
        <v>10</v>
      </c>
      <c r="Q53" s="80" t="s">
        <v>10</v>
      </c>
      <c r="R53" s="80" t="s">
        <v>10</v>
      </c>
      <c r="S53" s="80" t="s">
        <v>10</v>
      </c>
      <c r="T53" s="80" t="s">
        <v>10</v>
      </c>
    </row>
    <row r="54" spans="1:20" s="14" customFormat="1" ht="14.4" customHeight="1">
      <c r="A54" s="15" t="s">
        <v>29</v>
      </c>
      <c r="B54" s="306" t="s">
        <v>88</v>
      </c>
      <c r="C54" s="306"/>
      <c r="D54" s="15" t="s">
        <v>16</v>
      </c>
      <c r="E54" s="76">
        <f>SUM(E55:E63)</f>
        <v>0</v>
      </c>
      <c r="F54" s="76">
        <f t="shared" ref="F54:S54" si="28">SUM(F55:F63)</f>
        <v>0</v>
      </c>
      <c r="G54" s="76">
        <f t="shared" si="28"/>
        <v>9097401.7799999956</v>
      </c>
      <c r="H54" s="76">
        <f t="shared" si="28"/>
        <v>9618824.9299999997</v>
      </c>
      <c r="I54" s="76">
        <f t="shared" si="28"/>
        <v>10251529.222200001</v>
      </c>
      <c r="J54" s="76">
        <f t="shared" si="28"/>
        <v>10896483.525422005</v>
      </c>
      <c r="K54" s="76">
        <f t="shared" si="28"/>
        <v>11706247.04422622</v>
      </c>
      <c r="L54" s="76">
        <f t="shared" si="28"/>
        <v>12529970.253806982</v>
      </c>
      <c r="M54" s="76">
        <f t="shared" si="28"/>
        <v>13302957.34937205</v>
      </c>
      <c r="N54" s="76">
        <f t="shared" si="28"/>
        <v>13938971.098481266</v>
      </c>
      <c r="O54" s="76">
        <f t="shared" si="28"/>
        <v>14586862.13207007</v>
      </c>
      <c r="P54" s="76">
        <f t="shared" si="28"/>
        <v>15238191.52418327</v>
      </c>
      <c r="Q54" s="76">
        <f t="shared" si="28"/>
        <v>15892351.553394103</v>
      </c>
      <c r="R54" s="76">
        <f t="shared" si="28"/>
        <v>16553255.572883539</v>
      </c>
      <c r="S54" s="76">
        <f t="shared" si="28"/>
        <v>17221080.327154376</v>
      </c>
      <c r="T54" s="76">
        <f t="shared" ref="T54" si="29">SUM(T55:T63)</f>
        <v>17895946.771354418</v>
      </c>
    </row>
    <row r="55" spans="1:20" ht="14.4" customHeight="1">
      <c r="A55" s="3" t="s">
        <v>33</v>
      </c>
      <c r="B55" s="299" t="s">
        <v>89</v>
      </c>
      <c r="C55" s="299"/>
      <c r="D55" s="3" t="s">
        <v>16</v>
      </c>
      <c r="E55" s="72">
        <f>Założenia!E99</f>
        <v>0</v>
      </c>
      <c r="F55" s="72">
        <f>Założenia!F99</f>
        <v>0</v>
      </c>
      <c r="G55" s="72">
        <f>Założenia!G99</f>
        <v>9940500</v>
      </c>
      <c r="H55" s="72">
        <f>Założenia!H99</f>
        <v>9940500</v>
      </c>
      <c r="I55" s="72">
        <f>H55+Obliczenia!I95</f>
        <v>9940500</v>
      </c>
      <c r="J55" s="72">
        <f>I55+Obliczenia!J95</f>
        <v>9940500</v>
      </c>
      <c r="K55" s="72">
        <f>J55+Obliczenia!K95</f>
        <v>9940500</v>
      </c>
      <c r="L55" s="72">
        <f>K55+Obliczenia!L95</f>
        <v>9940500</v>
      </c>
      <c r="M55" s="72">
        <f>L55+Obliczenia!M95</f>
        <v>9940500</v>
      </c>
      <c r="N55" s="72">
        <f>M55+Obliczenia!N95</f>
        <v>9940500</v>
      </c>
      <c r="O55" s="72">
        <f>N55+Obliczenia!O95</f>
        <v>9940500</v>
      </c>
      <c r="P55" s="72">
        <f>O55+Obliczenia!P95</f>
        <v>9940500</v>
      </c>
      <c r="Q55" s="72">
        <f>P55+Obliczenia!Q95</f>
        <v>9940500</v>
      </c>
      <c r="R55" s="72">
        <f>Q55+Obliczenia!R95</f>
        <v>9940500</v>
      </c>
      <c r="S55" s="72">
        <f>R55+Obliczenia!S95</f>
        <v>9940500</v>
      </c>
      <c r="T55" s="72">
        <f>S55+Obliczenia!T95</f>
        <v>9940500</v>
      </c>
    </row>
    <row r="56" spans="1:20" ht="14.4" customHeight="1">
      <c r="A56" s="3" t="s">
        <v>35</v>
      </c>
      <c r="B56" s="299" t="s">
        <v>90</v>
      </c>
      <c r="C56" s="299"/>
      <c r="D56" s="3" t="s">
        <v>16</v>
      </c>
      <c r="E56" s="72">
        <f>Założenia!E100</f>
        <v>0</v>
      </c>
      <c r="F56" s="72">
        <f>Założenia!F100</f>
        <v>0</v>
      </c>
      <c r="G56" s="72">
        <f>Założenia!G100</f>
        <v>0</v>
      </c>
      <c r="H56" s="72">
        <f>Założenia!H100</f>
        <v>0</v>
      </c>
      <c r="I56" s="72">
        <f>Założenia!I100</f>
        <v>0</v>
      </c>
      <c r="J56" s="72">
        <f>Założenia!J100</f>
        <v>0</v>
      </c>
      <c r="K56" s="72">
        <f>Założenia!K100</f>
        <v>0</v>
      </c>
      <c r="L56" s="72">
        <f>Założenia!L100</f>
        <v>0</v>
      </c>
      <c r="M56" s="72">
        <f>Założenia!M100</f>
        <v>0</v>
      </c>
      <c r="N56" s="72">
        <f>Założenia!N100</f>
        <v>0</v>
      </c>
      <c r="O56" s="72">
        <f>Założenia!O100</f>
        <v>0</v>
      </c>
      <c r="P56" s="72">
        <f>Założenia!P100</f>
        <v>0</v>
      </c>
      <c r="Q56" s="72">
        <f>Założenia!Q100</f>
        <v>0</v>
      </c>
      <c r="R56" s="72">
        <f>Założenia!R100</f>
        <v>0</v>
      </c>
      <c r="S56" s="72">
        <f>Założenia!S100</f>
        <v>0</v>
      </c>
      <c r="T56" s="72">
        <f>Założenia!T100</f>
        <v>0</v>
      </c>
    </row>
    <row r="57" spans="1:20" ht="14.4" customHeight="1">
      <c r="A57" s="3" t="s">
        <v>37</v>
      </c>
      <c r="B57" s="299" t="s">
        <v>91</v>
      </c>
      <c r="C57" s="299"/>
      <c r="D57" s="3" t="s">
        <v>16</v>
      </c>
      <c r="E57" s="72">
        <f>Założenia!E101</f>
        <v>0</v>
      </c>
      <c r="F57" s="72">
        <f>Założenia!F101</f>
        <v>0</v>
      </c>
      <c r="G57" s="72">
        <f>Założenia!G101</f>
        <v>0</v>
      </c>
      <c r="H57" s="72">
        <f>Założenia!H101</f>
        <v>0</v>
      </c>
      <c r="I57" s="72">
        <f>Założenia!I101</f>
        <v>0</v>
      </c>
      <c r="J57" s="72">
        <f>Założenia!J101</f>
        <v>0</v>
      </c>
      <c r="K57" s="72">
        <f>Założenia!K101</f>
        <v>0</v>
      </c>
      <c r="L57" s="72">
        <f>Założenia!L101</f>
        <v>0</v>
      </c>
      <c r="M57" s="72">
        <f>Założenia!M101</f>
        <v>0</v>
      </c>
      <c r="N57" s="72">
        <f>Założenia!N101</f>
        <v>0</v>
      </c>
      <c r="O57" s="72">
        <f>Założenia!O101</f>
        <v>0</v>
      </c>
      <c r="P57" s="72">
        <f>Założenia!P101</f>
        <v>0</v>
      </c>
      <c r="Q57" s="72">
        <f>Założenia!Q101</f>
        <v>0</v>
      </c>
      <c r="R57" s="72">
        <f>Założenia!R101</f>
        <v>0</v>
      </c>
      <c r="S57" s="72">
        <f>Założenia!S101</f>
        <v>0</v>
      </c>
      <c r="T57" s="72">
        <f>Założenia!T101</f>
        <v>0</v>
      </c>
    </row>
    <row r="58" spans="1:20" ht="14.4" customHeight="1">
      <c r="A58" s="3" t="s">
        <v>39</v>
      </c>
      <c r="B58" s="299" t="s">
        <v>92</v>
      </c>
      <c r="C58" s="299"/>
      <c r="D58" s="3" t="s">
        <v>16</v>
      </c>
      <c r="E58" s="72">
        <f>Założenia!E102</f>
        <v>0</v>
      </c>
      <c r="F58" s="72">
        <f>Założenia!F102</f>
        <v>0</v>
      </c>
      <c r="G58" s="72">
        <f>Założenia!G102</f>
        <v>873.67</v>
      </c>
      <c r="H58" s="72">
        <f>Założenia!H102</f>
        <v>873.67</v>
      </c>
      <c r="I58" s="72">
        <f>H58</f>
        <v>873.67</v>
      </c>
      <c r="J58" s="72">
        <f t="shared" ref="J58:T58" si="30">I58</f>
        <v>873.67</v>
      </c>
      <c r="K58" s="72">
        <f t="shared" si="30"/>
        <v>873.67</v>
      </c>
      <c r="L58" s="72">
        <f t="shared" si="30"/>
        <v>873.67</v>
      </c>
      <c r="M58" s="72">
        <f t="shared" si="30"/>
        <v>873.67</v>
      </c>
      <c r="N58" s="72">
        <f t="shared" si="30"/>
        <v>873.67</v>
      </c>
      <c r="O58" s="72">
        <f t="shared" si="30"/>
        <v>873.67</v>
      </c>
      <c r="P58" s="72">
        <f t="shared" si="30"/>
        <v>873.67</v>
      </c>
      <c r="Q58" s="72">
        <f t="shared" si="30"/>
        <v>873.67</v>
      </c>
      <c r="R58" s="72">
        <f t="shared" si="30"/>
        <v>873.67</v>
      </c>
      <c r="S58" s="72">
        <f t="shared" si="30"/>
        <v>873.67</v>
      </c>
      <c r="T58" s="72">
        <f t="shared" si="30"/>
        <v>873.67</v>
      </c>
    </row>
    <row r="59" spans="1:20" ht="14.4" customHeight="1">
      <c r="A59" s="3" t="s">
        <v>41</v>
      </c>
      <c r="B59" s="299" t="s">
        <v>93</v>
      </c>
      <c r="C59" s="299"/>
      <c r="D59" s="3" t="s">
        <v>16</v>
      </c>
      <c r="E59" s="72">
        <f>Założenia!E103</f>
        <v>0</v>
      </c>
      <c r="F59" s="72">
        <f>Założenia!F103</f>
        <v>0</v>
      </c>
      <c r="G59" s="72">
        <f>Założenia!G103</f>
        <v>0</v>
      </c>
      <c r="H59" s="72">
        <f>Założenia!H103</f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</row>
    <row r="60" spans="1:20" ht="14.4" customHeight="1">
      <c r="A60" s="3" t="s">
        <v>43</v>
      </c>
      <c r="B60" s="299" t="s">
        <v>94</v>
      </c>
      <c r="C60" s="299"/>
      <c r="D60" s="3" t="s">
        <v>16</v>
      </c>
      <c r="E60" s="72">
        <f>Założenia!E104</f>
        <v>0</v>
      </c>
      <c r="F60" s="72">
        <f>Założenia!F104</f>
        <v>0</v>
      </c>
      <c r="G60" s="72">
        <f>Założenia!G104</f>
        <v>0</v>
      </c>
      <c r="H60" s="72">
        <f>Założenia!H104</f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</row>
    <row r="61" spans="1:20" ht="14.4" customHeight="1">
      <c r="A61" s="3" t="s">
        <v>95</v>
      </c>
      <c r="B61" s="299" t="s">
        <v>96</v>
      </c>
      <c r="C61" s="299"/>
      <c r="D61" s="3" t="s">
        <v>16</v>
      </c>
      <c r="E61" s="72">
        <f>Założenia!E105</f>
        <v>0</v>
      </c>
      <c r="F61" s="72">
        <f>Założenia!F105</f>
        <v>0</v>
      </c>
      <c r="G61" s="72">
        <f>Założenia!G105</f>
        <v>-1370791.04</v>
      </c>
      <c r="H61" s="72">
        <f>Założenia!H105</f>
        <v>-843971.89</v>
      </c>
      <c r="I61" s="72">
        <f>H61+H62</f>
        <v>-322548.74</v>
      </c>
      <c r="J61" s="72">
        <f t="shared" ref="J61:T61" si="31">I61+I62</f>
        <v>310155.55220000178</v>
      </c>
      <c r="K61" s="72">
        <f t="shared" si="31"/>
        <v>955109.85542200378</v>
      </c>
      <c r="L61" s="72">
        <f t="shared" si="31"/>
        <v>1764873.37422622</v>
      </c>
      <c r="M61" s="72">
        <f t="shared" si="31"/>
        <v>2588596.5838069813</v>
      </c>
      <c r="N61" s="72">
        <f t="shared" si="31"/>
        <v>3361583.679372048</v>
      </c>
      <c r="O61" s="72">
        <f t="shared" si="31"/>
        <v>3997597.428481265</v>
      </c>
      <c r="P61" s="72">
        <f t="shared" si="31"/>
        <v>4645488.4620700702</v>
      </c>
      <c r="Q61" s="72">
        <f t="shared" si="31"/>
        <v>5296817.8541832697</v>
      </c>
      <c r="R61" s="72">
        <f t="shared" si="31"/>
        <v>5950977.8833941035</v>
      </c>
      <c r="S61" s="72">
        <f t="shared" si="31"/>
        <v>6611881.902883539</v>
      </c>
      <c r="T61" s="72">
        <f t="shared" si="31"/>
        <v>7279706.6571543738</v>
      </c>
    </row>
    <row r="62" spans="1:20" ht="14.4" customHeight="1">
      <c r="A62" s="3" t="s">
        <v>47</v>
      </c>
      <c r="B62" s="299" t="s">
        <v>97</v>
      </c>
      <c r="C62" s="299"/>
      <c r="D62" s="3" t="s">
        <v>16</v>
      </c>
      <c r="E62" s="72">
        <f>Założenia!E106</f>
        <v>0</v>
      </c>
      <c r="F62" s="72">
        <f>Założenia!F106</f>
        <v>0</v>
      </c>
      <c r="G62" s="72">
        <f>Założenia!G106</f>
        <v>526819.14999999711</v>
      </c>
      <c r="H62" s="72">
        <f>Założenia!H106</f>
        <v>521423.15</v>
      </c>
      <c r="I62" s="72">
        <f t="shared" ref="I62:T62" si="32">I32</f>
        <v>632704.29220000177</v>
      </c>
      <c r="J62" s="72">
        <f t="shared" si="32"/>
        <v>644954.303222002</v>
      </c>
      <c r="K62" s="72">
        <f t="shared" si="32"/>
        <v>809763.51880421606</v>
      </c>
      <c r="L62" s="72">
        <f t="shared" si="32"/>
        <v>823723.20958076161</v>
      </c>
      <c r="M62" s="72">
        <f t="shared" si="32"/>
        <v>772987.09556506691</v>
      </c>
      <c r="N62" s="72">
        <f t="shared" si="32"/>
        <v>636013.7491092172</v>
      </c>
      <c r="O62" s="72">
        <f t="shared" si="32"/>
        <v>647891.03358880547</v>
      </c>
      <c r="P62" s="72">
        <f t="shared" si="32"/>
        <v>651329.39211319969</v>
      </c>
      <c r="Q62" s="72">
        <f t="shared" si="32"/>
        <v>654160.02921083407</v>
      </c>
      <c r="R62" s="72">
        <f t="shared" si="32"/>
        <v>660904.01948943571</v>
      </c>
      <c r="S62" s="72">
        <f t="shared" si="32"/>
        <v>667824.75427083508</v>
      </c>
      <c r="T62" s="72">
        <f t="shared" si="32"/>
        <v>674866.44420004101</v>
      </c>
    </row>
    <row r="63" spans="1:20" ht="14.4" customHeight="1">
      <c r="A63" s="3" t="s">
        <v>98</v>
      </c>
      <c r="B63" s="299" t="s">
        <v>99</v>
      </c>
      <c r="C63" s="299"/>
      <c r="D63" s="3" t="s">
        <v>16</v>
      </c>
      <c r="E63" s="72">
        <f>Założenia!E107</f>
        <v>0</v>
      </c>
      <c r="F63" s="72">
        <f>Założenia!F107</f>
        <v>0</v>
      </c>
      <c r="G63" s="72">
        <f>Założenia!G107</f>
        <v>0</v>
      </c>
      <c r="H63" s="72">
        <f>Założenia!H107</f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</row>
    <row r="64" spans="1:20" s="14" customFormat="1" ht="14.4" customHeight="1">
      <c r="A64" s="15" t="s">
        <v>31</v>
      </c>
      <c r="B64" s="306" t="s">
        <v>100</v>
      </c>
      <c r="C64" s="306"/>
      <c r="D64" s="15" t="s">
        <v>16</v>
      </c>
      <c r="E64" s="76">
        <f>E65+E66+E68+E70</f>
        <v>0</v>
      </c>
      <c r="F64" s="76">
        <f t="shared" ref="F64:S64" si="33">F65+F66+F68+F70</f>
        <v>0</v>
      </c>
      <c r="G64" s="76">
        <f t="shared" si="33"/>
        <v>25672324.279999997</v>
      </c>
      <c r="H64" s="76">
        <f t="shared" si="33"/>
        <v>18002938.390000001</v>
      </c>
      <c r="I64" s="76">
        <f t="shared" si="33"/>
        <v>17193575.879999999</v>
      </c>
      <c r="J64" s="76">
        <f t="shared" si="33"/>
        <v>76331726.879999995</v>
      </c>
      <c r="K64" s="76">
        <f t="shared" si="33"/>
        <v>66460596.32</v>
      </c>
      <c r="L64" s="76">
        <f t="shared" si="33"/>
        <v>60840529.149999991</v>
      </c>
      <c r="M64" s="76">
        <f t="shared" si="33"/>
        <v>55220431.640000001</v>
      </c>
      <c r="N64" s="76">
        <f t="shared" si="33"/>
        <v>49600303.479999989</v>
      </c>
      <c r="O64" s="76">
        <f t="shared" si="33"/>
        <v>43980144.359999999</v>
      </c>
      <c r="P64" s="76">
        <f t="shared" si="33"/>
        <v>38405173.769999996</v>
      </c>
      <c r="Q64" s="76">
        <f t="shared" si="33"/>
        <v>33024011.419999998</v>
      </c>
      <c r="R64" s="76">
        <f t="shared" si="33"/>
        <v>27814461.009999998</v>
      </c>
      <c r="S64" s="76">
        <f t="shared" si="33"/>
        <v>22604878.379999999</v>
      </c>
      <c r="T64" s="76">
        <f t="shared" ref="T64" si="34">T65+T66+T68+T70</f>
        <v>17395263.380000047</v>
      </c>
    </row>
    <row r="65" spans="1:20" ht="14.4" customHeight="1">
      <c r="A65" s="3" t="s">
        <v>33</v>
      </c>
      <c r="B65" s="299" t="s">
        <v>101</v>
      </c>
      <c r="C65" s="299"/>
      <c r="D65" s="3" t="s">
        <v>16</v>
      </c>
      <c r="E65" s="72">
        <f>Założenia!E109</f>
        <v>0</v>
      </c>
      <c r="F65" s="72">
        <f>Założenia!F109</f>
        <v>0</v>
      </c>
      <c r="G65" s="72">
        <f>Założenia!G109</f>
        <v>92759.51</v>
      </c>
      <c r="H65" s="72">
        <f>Założenia!H109</f>
        <v>275362.51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</row>
    <row r="66" spans="1:20" ht="14.4" customHeight="1">
      <c r="A66" s="3" t="s">
        <v>35</v>
      </c>
      <c r="B66" s="299" t="s">
        <v>102</v>
      </c>
      <c r="C66" s="299"/>
      <c r="D66" s="3" t="s">
        <v>16</v>
      </c>
      <c r="E66" s="72">
        <f>Założenia!E110</f>
        <v>0</v>
      </c>
      <c r="F66" s="72">
        <f>Założenia!F110</f>
        <v>0</v>
      </c>
      <c r="G66" s="72">
        <f>Założenia!G110</f>
        <v>3319214.43</v>
      </c>
      <c r="H66" s="72">
        <f>Założenia!H110</f>
        <v>2554650.83</v>
      </c>
      <c r="I66" s="72">
        <f>Wyniki_kredyty!I44</f>
        <v>1170926.79</v>
      </c>
      <c r="J66" s="72">
        <f>Wyniki_kredyty!J44</f>
        <v>14450260.52</v>
      </c>
      <c r="K66" s="72">
        <f>Wyniki_kredyty!K44</f>
        <v>12844676</v>
      </c>
      <c r="L66" s="72">
        <f>Wyniki_kredyty!L44</f>
        <v>11239091.48</v>
      </c>
      <c r="M66" s="72">
        <f>Wyniki_kredyty!M44</f>
        <v>9633506.9600000009</v>
      </c>
      <c r="N66" s="72">
        <f>Wyniki_kredyty!N44</f>
        <v>8027922.4400000013</v>
      </c>
      <c r="O66" s="72">
        <f>Wyniki_kredyty!O44</f>
        <v>6422337.9200000018</v>
      </c>
      <c r="P66" s="72">
        <f>Wyniki_kredyty!P44</f>
        <v>4816753.4000000022</v>
      </c>
      <c r="Q66" s="72">
        <f>Wyniki_kredyty!Q44</f>
        <v>3211168.8800000027</v>
      </c>
      <c r="R66" s="72">
        <f>Wyniki_kredyty!R44</f>
        <v>1605584.3600000029</v>
      </c>
      <c r="S66" s="72">
        <f>Wyniki_kredyty!S44</f>
        <v>5.2619725465774536E-8</v>
      </c>
      <c r="T66" s="72">
        <f>Wyniki_kredyty!T44</f>
        <v>5.2619725465774536E-8</v>
      </c>
    </row>
    <row r="67" spans="1:20" ht="14.4" customHeight="1">
      <c r="A67" s="3" t="s">
        <v>10</v>
      </c>
      <c r="B67" s="300" t="s">
        <v>253</v>
      </c>
      <c r="C67" s="299"/>
      <c r="D67" s="3" t="s">
        <v>16</v>
      </c>
      <c r="E67" s="72">
        <f>Założenia!E111</f>
        <v>0</v>
      </c>
      <c r="F67" s="72">
        <f>Założenia!F111</f>
        <v>0</v>
      </c>
      <c r="G67" s="72">
        <f>Założenia!G111</f>
        <v>0</v>
      </c>
      <c r="H67" s="72">
        <f>Założenia!H111</f>
        <v>0</v>
      </c>
      <c r="I67" s="72">
        <f>Wyniki_kredyty!I45</f>
        <v>0</v>
      </c>
      <c r="J67" s="72">
        <f>Wyniki_kredyty!J45</f>
        <v>14450260.52</v>
      </c>
      <c r="K67" s="72">
        <f>Wyniki_kredyty!K45</f>
        <v>12844676</v>
      </c>
      <c r="L67" s="72">
        <f>Wyniki_kredyty!L45</f>
        <v>11239091.48</v>
      </c>
      <c r="M67" s="72">
        <f>Wyniki_kredyty!M45</f>
        <v>9633506.9600000009</v>
      </c>
      <c r="N67" s="72">
        <f>Wyniki_kredyty!N45</f>
        <v>8027922.4400000013</v>
      </c>
      <c r="O67" s="72">
        <f>Wyniki_kredyty!O45</f>
        <v>6422337.9200000018</v>
      </c>
      <c r="P67" s="72">
        <f>Wyniki_kredyty!P45</f>
        <v>4816753.4000000022</v>
      </c>
      <c r="Q67" s="72">
        <f>Wyniki_kredyty!Q45</f>
        <v>3211168.8800000027</v>
      </c>
      <c r="R67" s="72">
        <f>Wyniki_kredyty!R45</f>
        <v>1605584.3600000029</v>
      </c>
      <c r="S67" s="72">
        <f>Wyniki_kredyty!S45</f>
        <v>5.2619725465774536E-8</v>
      </c>
      <c r="T67" s="72">
        <f>Wyniki_kredyty!T45</f>
        <v>5.2619725465774536E-8</v>
      </c>
    </row>
    <row r="68" spans="1:20" ht="14.4" customHeight="1">
      <c r="A68" s="3" t="s">
        <v>37</v>
      </c>
      <c r="B68" s="299" t="s">
        <v>103</v>
      </c>
      <c r="C68" s="299"/>
      <c r="D68" s="3" t="s">
        <v>16</v>
      </c>
      <c r="E68" s="72">
        <f>Założenia!E112</f>
        <v>0</v>
      </c>
      <c r="F68" s="72">
        <f>Założenia!F112</f>
        <v>0</v>
      </c>
      <c r="G68" s="72">
        <f>Założenia!G112</f>
        <v>11347526.799999999</v>
      </c>
      <c r="H68" s="72">
        <f>Założenia!H112</f>
        <v>6097642.3899999997</v>
      </c>
      <c r="I68" s="72">
        <f>Wyniki_kredyty!I46+$H$68-Wyniki_kredyty!$H$46</f>
        <v>6947366.4299999997</v>
      </c>
      <c r="J68" s="72">
        <f>Wyniki_kredyty!J46+$H$68-Wyniki_kredyty!$H$46</f>
        <v>12192078.699999999</v>
      </c>
      <c r="K68" s="72">
        <f>Wyniki_kredyty!K46+$H$68-Wyniki_kredyty!$H$46+Założenia!K227</f>
        <v>7937980.3699999992</v>
      </c>
      <c r="L68" s="72">
        <f>Wyniki_kredyty!L46+$H$68-Wyniki_kredyty!$H$46+Założenia!L227</f>
        <v>7934945.4299999997</v>
      </c>
      <c r="M68" s="72">
        <f>Wyniki_kredyty!M46+$H$68-Wyniki_kredyty!$H$46+Założenia!M227</f>
        <v>7931880.1499999994</v>
      </c>
      <c r="N68" s="72">
        <f>Wyniki_kredyty!N46+$H$68-Wyniki_kredyty!$H$46+Założenia!N227</f>
        <v>7928784.2199999988</v>
      </c>
      <c r="O68" s="72">
        <f>Wyniki_kredyty!O46+$H$68-Wyniki_kredyty!$H$46+Założenia!O227</f>
        <v>7925657.3299999991</v>
      </c>
      <c r="P68" s="72">
        <f>Wyniki_kredyty!P46+$H$68-Wyniki_kredyty!$H$46+Założenia!P227</f>
        <v>7785184.0999999996</v>
      </c>
      <c r="Q68" s="72">
        <f>Wyniki_kredyty!Q46+$H$68-Wyniki_kredyty!$H$46+Założenia!Q227</f>
        <v>7610350.5199999996</v>
      </c>
      <c r="R68" s="72">
        <f>Wyniki_kredyty!R46+$H$68-Wyniki_kredyty!$H$46+Założenia!R227</f>
        <v>7607128.879999999</v>
      </c>
      <c r="S68" s="72">
        <f>Wyniki_kredyty!S46+$H$68-Wyniki_kredyty!$H$46+Założenia!S227</f>
        <v>7603874.85999995</v>
      </c>
      <c r="T68" s="72">
        <f>Wyniki_kredyty!T46+$H$68-Wyniki_kredyty!$H$46+Założenia!T227</f>
        <v>5995004.1099999994</v>
      </c>
    </row>
    <row r="69" spans="1:20" ht="14.4" customHeight="1">
      <c r="A69" s="3" t="s">
        <v>10</v>
      </c>
      <c r="B69" s="300" t="s">
        <v>253</v>
      </c>
      <c r="C69" s="299"/>
      <c r="D69" s="3" t="s">
        <v>16</v>
      </c>
      <c r="E69" s="72">
        <f>Założenia!E113</f>
        <v>0</v>
      </c>
      <c r="F69" s="72">
        <f>Założenia!F113</f>
        <v>0</v>
      </c>
      <c r="G69" s="72">
        <f>Założenia!G113</f>
        <v>0</v>
      </c>
      <c r="H69" s="72">
        <f>Założenia!H113</f>
        <v>0</v>
      </c>
      <c r="I69" s="72">
        <f>Wyniki_kredyty!I47</f>
        <v>0</v>
      </c>
      <c r="J69" s="72">
        <f>Wyniki_kredyty!J47</f>
        <v>5457509.5199999996</v>
      </c>
      <c r="K69" s="72">
        <f>Wyniki_kredyty!K47</f>
        <v>1605584.5199999998</v>
      </c>
      <c r="L69" s="72">
        <f>Wyniki_kredyty!L47</f>
        <v>1605584.5199999998</v>
      </c>
      <c r="M69" s="72">
        <f>Wyniki_kredyty!M47</f>
        <v>1605584.5199999998</v>
      </c>
      <c r="N69" s="72">
        <f>Wyniki_kredyty!N47</f>
        <v>1605584.5199999998</v>
      </c>
      <c r="O69" s="72">
        <f>Wyniki_kredyty!O47</f>
        <v>1605584.5199999998</v>
      </c>
      <c r="P69" s="72">
        <f>Wyniki_kredyty!P47</f>
        <v>1605584.5199999998</v>
      </c>
      <c r="Q69" s="72">
        <f>Wyniki_kredyty!Q47</f>
        <v>1605584.5199999998</v>
      </c>
      <c r="R69" s="72">
        <f>Wyniki_kredyty!R47</f>
        <v>1605584.5199999998</v>
      </c>
      <c r="S69" s="72">
        <f>Wyniki_kredyty!S47</f>
        <v>1605584.3599999503</v>
      </c>
      <c r="T69" s="72">
        <f>Wyniki_kredyty!T47</f>
        <v>0</v>
      </c>
    </row>
    <row r="70" spans="1:20" ht="14.4" customHeight="1">
      <c r="A70" s="3" t="s">
        <v>39</v>
      </c>
      <c r="B70" s="299" t="s">
        <v>104</v>
      </c>
      <c r="C70" s="299"/>
      <c r="D70" s="3" t="s">
        <v>16</v>
      </c>
      <c r="E70" s="72">
        <f>Założenia!E114</f>
        <v>0</v>
      </c>
      <c r="F70" s="72">
        <f>Założenia!F114</f>
        <v>0</v>
      </c>
      <c r="G70" s="72">
        <f>Założenia!G114</f>
        <v>10912823.539999999</v>
      </c>
      <c r="H70" s="72">
        <f>Założenia!H114</f>
        <v>9075282.6600000001</v>
      </c>
      <c r="I70" s="72">
        <f>Obliczenia!I114</f>
        <v>9075282.6600000001</v>
      </c>
      <c r="J70" s="72">
        <f>Obliczenia!J114</f>
        <v>49689387.659999996</v>
      </c>
      <c r="K70" s="72">
        <f>Obliczenia!K114</f>
        <v>45677939.950000003</v>
      </c>
      <c r="L70" s="72">
        <f>Obliczenia!L114</f>
        <v>41666492.239999995</v>
      </c>
      <c r="M70" s="72">
        <f>Obliczenia!M114</f>
        <v>37655044.530000001</v>
      </c>
      <c r="N70" s="72">
        <f>Obliczenia!N114</f>
        <v>33643596.819999993</v>
      </c>
      <c r="O70" s="72">
        <f>Obliczenia!O114</f>
        <v>29632149.109999996</v>
      </c>
      <c r="P70" s="72">
        <f>Obliczenia!P114</f>
        <v>25803236.269999996</v>
      </c>
      <c r="Q70" s="72">
        <f>Obliczenia!Q114</f>
        <v>22202492.019999996</v>
      </c>
      <c r="R70" s="72">
        <f>Obliczenia!R114</f>
        <v>18601747.769999996</v>
      </c>
      <c r="S70" s="72">
        <f>Obliczenia!S114</f>
        <v>15001003.519999996</v>
      </c>
      <c r="T70" s="72">
        <f>Obliczenia!T114</f>
        <v>11400259.269999996</v>
      </c>
    </row>
    <row r="71" spans="1:20" ht="14.4" customHeight="1">
      <c r="A71" s="3" t="s">
        <v>10</v>
      </c>
      <c r="B71" s="300" t="s">
        <v>280</v>
      </c>
      <c r="C71" s="299"/>
      <c r="D71" s="3" t="s">
        <v>16</v>
      </c>
      <c r="E71" s="72">
        <f>Założenia!E115</f>
        <v>0</v>
      </c>
      <c r="F71" s="72">
        <f>Założenia!F115</f>
        <v>0</v>
      </c>
      <c r="G71" s="72">
        <f>Założenia!G115</f>
        <v>0</v>
      </c>
      <c r="H71" s="72">
        <f>Założenia!H115</f>
        <v>0</v>
      </c>
      <c r="I71" s="72">
        <f>Obliczenia!I115</f>
        <v>0</v>
      </c>
      <c r="J71" s="72">
        <f>Obliczenia!J115</f>
        <v>40614105</v>
      </c>
      <c r="K71" s="72">
        <f>Obliczenia!K115</f>
        <v>36602657.289999999</v>
      </c>
      <c r="L71" s="72">
        <f>Obliczenia!L115</f>
        <v>32591209.579999998</v>
      </c>
      <c r="M71" s="72">
        <f>Obliczenia!M115</f>
        <v>28579761.869999997</v>
      </c>
      <c r="N71" s="72">
        <f>Obliczenia!N115</f>
        <v>24568314.159999996</v>
      </c>
      <c r="O71" s="72">
        <f>Obliczenia!O115</f>
        <v>20556866.449999996</v>
      </c>
      <c r="P71" s="72">
        <f>Obliczenia!P115</f>
        <v>16727953.609999996</v>
      </c>
      <c r="Q71" s="72">
        <f>Obliczenia!Q115</f>
        <v>13127209.359999996</v>
      </c>
      <c r="R71" s="72">
        <f>Obliczenia!R115</f>
        <v>9526465.1099999957</v>
      </c>
      <c r="S71" s="72">
        <f>Obliczenia!S115</f>
        <v>5925720.8599999957</v>
      </c>
      <c r="T71" s="72">
        <f>Obliczenia!T115</f>
        <v>2324976.6099999957</v>
      </c>
    </row>
    <row r="72" spans="1:20" s="14" customFormat="1" ht="14.4" customHeight="1">
      <c r="A72" s="15" t="s">
        <v>10</v>
      </c>
      <c r="B72" s="306" t="s">
        <v>105</v>
      </c>
      <c r="C72" s="306"/>
      <c r="D72" s="15" t="s">
        <v>16</v>
      </c>
      <c r="E72" s="76">
        <f>E54+E64</f>
        <v>0</v>
      </c>
      <c r="F72" s="76">
        <f t="shared" ref="F72:S72" si="35">F54+F64</f>
        <v>0</v>
      </c>
      <c r="G72" s="76">
        <f t="shared" si="35"/>
        <v>34769726.059999995</v>
      </c>
      <c r="H72" s="76">
        <f t="shared" si="35"/>
        <v>27621763.32</v>
      </c>
      <c r="I72" s="76">
        <f t="shared" si="35"/>
        <v>27445105.102200001</v>
      </c>
      <c r="J72" s="76">
        <f t="shared" si="35"/>
        <v>87228210.405422002</v>
      </c>
      <c r="K72" s="76">
        <f t="shared" si="35"/>
        <v>78166843.364226222</v>
      </c>
      <c r="L72" s="76">
        <f t="shared" si="35"/>
        <v>73370499.40380697</v>
      </c>
      <c r="M72" s="76">
        <f t="shared" si="35"/>
        <v>68523388.989372045</v>
      </c>
      <c r="N72" s="76">
        <f t="shared" si="35"/>
        <v>63539274.578481257</v>
      </c>
      <c r="O72" s="76">
        <f t="shared" si="35"/>
        <v>58567006.492070071</v>
      </c>
      <c r="P72" s="76">
        <f t="shared" si="35"/>
        <v>53643365.294183269</v>
      </c>
      <c r="Q72" s="76">
        <f t="shared" si="35"/>
        <v>48916362.973394103</v>
      </c>
      <c r="R72" s="76">
        <f t="shared" si="35"/>
        <v>44367716.582883537</v>
      </c>
      <c r="S72" s="76">
        <f t="shared" si="35"/>
        <v>39825958.707154378</v>
      </c>
      <c r="T72" s="76">
        <f t="shared" ref="T72" si="36">T54+T64</f>
        <v>35291210.151354462</v>
      </c>
    </row>
    <row r="73" spans="1:20" ht="14.4" customHeight="1">
      <c r="E73" s="33">
        <f>E52-E72</f>
        <v>0</v>
      </c>
      <c r="F73" s="33">
        <f t="shared" ref="F73:S73" si="37">F52-F72</f>
        <v>0</v>
      </c>
      <c r="G73" s="33">
        <f t="shared" si="37"/>
        <v>0</v>
      </c>
      <c r="H73" s="33">
        <f t="shared" si="37"/>
        <v>0</v>
      </c>
      <c r="I73" s="33">
        <f t="shared" si="37"/>
        <v>0</v>
      </c>
      <c r="J73" s="33">
        <f t="shared" si="37"/>
        <v>0</v>
      </c>
      <c r="K73" s="33">
        <f t="shared" si="37"/>
        <v>0</v>
      </c>
      <c r="L73" s="33">
        <f t="shared" si="37"/>
        <v>0</v>
      </c>
      <c r="M73" s="33">
        <f t="shared" si="37"/>
        <v>0</v>
      </c>
      <c r="N73" s="33">
        <f t="shared" si="37"/>
        <v>0</v>
      </c>
      <c r="O73" s="33">
        <f t="shared" si="37"/>
        <v>0</v>
      </c>
      <c r="P73" s="33">
        <f t="shared" si="37"/>
        <v>0</v>
      </c>
      <c r="Q73" s="33">
        <f t="shared" si="37"/>
        <v>0</v>
      </c>
      <c r="R73" s="33">
        <f t="shared" si="37"/>
        <v>0</v>
      </c>
      <c r="S73" s="33">
        <f t="shared" si="37"/>
        <v>0</v>
      </c>
      <c r="T73" s="33">
        <f t="shared" ref="T73" si="38">T52-T72</f>
        <v>0</v>
      </c>
    </row>
    <row r="74" spans="1:20" s="101" customFormat="1" ht="14.4" customHeight="1">
      <c r="E74" s="170">
        <f t="shared" ref="E74:I74" si="39">E73-D73</f>
        <v>0</v>
      </c>
      <c r="F74" s="170">
        <f t="shared" si="39"/>
        <v>0</v>
      </c>
      <c r="G74" s="170">
        <f t="shared" si="39"/>
        <v>0</v>
      </c>
      <c r="H74" s="170">
        <f t="shared" si="39"/>
        <v>0</v>
      </c>
      <c r="I74" s="170">
        <f t="shared" si="39"/>
        <v>0</v>
      </c>
      <c r="J74" s="170">
        <f>J73-I73</f>
        <v>0</v>
      </c>
      <c r="K74" s="170">
        <f>K73-J73</f>
        <v>0</v>
      </c>
      <c r="L74" s="170">
        <f t="shared" ref="L74:T74" si="40">L73-K73</f>
        <v>0</v>
      </c>
      <c r="M74" s="170">
        <f t="shared" si="40"/>
        <v>0</v>
      </c>
      <c r="N74" s="170">
        <f t="shared" si="40"/>
        <v>0</v>
      </c>
      <c r="O74" s="170">
        <f t="shared" si="40"/>
        <v>0</v>
      </c>
      <c r="P74" s="170">
        <f t="shared" si="40"/>
        <v>0</v>
      </c>
      <c r="Q74" s="170">
        <f t="shared" si="40"/>
        <v>0</v>
      </c>
      <c r="R74" s="170">
        <f t="shared" si="40"/>
        <v>0</v>
      </c>
      <c r="S74" s="170">
        <f t="shared" si="40"/>
        <v>0</v>
      </c>
      <c r="T74" s="170">
        <f t="shared" si="40"/>
        <v>0</v>
      </c>
    </row>
    <row r="75" spans="1:20" s="99" customFormat="1" ht="14.4" customHeight="1"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1:20" ht="14.4" customHeight="1">
      <c r="A76" s="12" t="s">
        <v>0</v>
      </c>
      <c r="B76" s="304" t="s">
        <v>106</v>
      </c>
      <c r="C76" s="304"/>
      <c r="D76" s="12" t="s">
        <v>13</v>
      </c>
      <c r="E76" s="12">
        <f>E$1</f>
        <v>2012</v>
      </c>
      <c r="F76" s="102">
        <f t="shared" ref="F76:T76" si="41">F$1</f>
        <v>2013</v>
      </c>
      <c r="G76" s="102">
        <f t="shared" si="41"/>
        <v>2014</v>
      </c>
      <c r="H76" s="102">
        <f t="shared" si="41"/>
        <v>2015</v>
      </c>
      <c r="I76" s="102">
        <f t="shared" si="41"/>
        <v>2016</v>
      </c>
      <c r="J76" s="102">
        <f t="shared" si="41"/>
        <v>2017</v>
      </c>
      <c r="K76" s="102">
        <f t="shared" si="41"/>
        <v>2018</v>
      </c>
      <c r="L76" s="102">
        <f t="shared" si="41"/>
        <v>2019</v>
      </c>
      <c r="M76" s="102">
        <f t="shared" si="41"/>
        <v>2020</v>
      </c>
      <c r="N76" s="102">
        <f t="shared" si="41"/>
        <v>2021</v>
      </c>
      <c r="O76" s="102">
        <f t="shared" si="41"/>
        <v>2022</v>
      </c>
      <c r="P76" s="102">
        <f t="shared" si="41"/>
        <v>2023</v>
      </c>
      <c r="Q76" s="102">
        <f t="shared" si="41"/>
        <v>2024</v>
      </c>
      <c r="R76" s="102">
        <f t="shared" si="41"/>
        <v>2025</v>
      </c>
      <c r="S76" s="102">
        <f t="shared" si="41"/>
        <v>2026</v>
      </c>
      <c r="T76" s="102">
        <f t="shared" si="41"/>
        <v>2027</v>
      </c>
    </row>
    <row r="77" spans="1:20" ht="14.4" customHeight="1">
      <c r="A77" s="3" t="s">
        <v>12</v>
      </c>
      <c r="B77" s="307" t="s">
        <v>26</v>
      </c>
      <c r="C77" s="307"/>
      <c r="D77" s="3" t="s">
        <v>27</v>
      </c>
      <c r="E77" s="2" t="s">
        <v>28</v>
      </c>
      <c r="F77" s="2" t="s">
        <v>139</v>
      </c>
      <c r="G77" s="2" t="s">
        <v>140</v>
      </c>
      <c r="H77" s="2" t="s">
        <v>141</v>
      </c>
      <c r="I77" s="2" t="s">
        <v>142</v>
      </c>
      <c r="J77" s="2" t="s">
        <v>143</v>
      </c>
      <c r="K77" s="2" t="s">
        <v>172</v>
      </c>
      <c r="L77" s="2" t="s">
        <v>173</v>
      </c>
      <c r="M77" s="2" t="s">
        <v>174</v>
      </c>
      <c r="N77" s="2" t="s">
        <v>175</v>
      </c>
      <c r="O77" s="2" t="s">
        <v>176</v>
      </c>
      <c r="P77" s="2" t="s">
        <v>177</v>
      </c>
      <c r="Q77" s="2" t="s">
        <v>178</v>
      </c>
      <c r="R77" s="2" t="s">
        <v>179</v>
      </c>
      <c r="S77" s="2" t="s">
        <v>180</v>
      </c>
      <c r="T77" s="2" t="s">
        <v>219</v>
      </c>
    </row>
    <row r="78" spans="1:20" ht="14.4" customHeight="1">
      <c r="A78" s="4" t="s">
        <v>29</v>
      </c>
      <c r="B78" s="11" t="s">
        <v>107</v>
      </c>
      <c r="C78" s="9"/>
      <c r="D78" s="9"/>
      <c r="E78" s="81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1:20" ht="14.4" customHeight="1">
      <c r="A79" s="3" t="s">
        <v>33</v>
      </c>
      <c r="B79" s="299" t="s">
        <v>108</v>
      </c>
      <c r="C79" s="299"/>
      <c r="D79" s="3" t="s">
        <v>16</v>
      </c>
      <c r="E79" s="77">
        <f t="shared" ref="E79:H79" si="42">E32</f>
        <v>0</v>
      </c>
      <c r="F79" s="77">
        <f t="shared" si="42"/>
        <v>0</v>
      </c>
      <c r="G79" s="77">
        <f t="shared" si="42"/>
        <v>526819.14999999711</v>
      </c>
      <c r="H79" s="77">
        <f t="shared" si="42"/>
        <v>521423.15000000701</v>
      </c>
      <c r="I79" s="77">
        <f t="shared" ref="I79:T79" si="43">I32</f>
        <v>632704.29220000177</v>
      </c>
      <c r="J79" s="77">
        <f t="shared" si="43"/>
        <v>644954.303222002</v>
      </c>
      <c r="K79" s="77">
        <f t="shared" si="43"/>
        <v>809763.51880421606</v>
      </c>
      <c r="L79" s="77">
        <f t="shared" si="43"/>
        <v>823723.20958076161</v>
      </c>
      <c r="M79" s="77">
        <f t="shared" si="43"/>
        <v>772987.09556506691</v>
      </c>
      <c r="N79" s="77">
        <f t="shared" si="43"/>
        <v>636013.7491092172</v>
      </c>
      <c r="O79" s="77">
        <f t="shared" si="43"/>
        <v>647891.03358880547</v>
      </c>
      <c r="P79" s="77">
        <f t="shared" si="43"/>
        <v>651329.39211319969</v>
      </c>
      <c r="Q79" s="77">
        <f t="shared" si="43"/>
        <v>654160.02921083407</v>
      </c>
      <c r="R79" s="77">
        <f t="shared" si="43"/>
        <v>660904.01948943571</v>
      </c>
      <c r="S79" s="77">
        <f t="shared" si="43"/>
        <v>667824.75427083508</v>
      </c>
      <c r="T79" s="77">
        <f t="shared" si="43"/>
        <v>674866.44420004101</v>
      </c>
    </row>
    <row r="80" spans="1:20" s="14" customFormat="1" ht="14.4" customHeight="1">
      <c r="A80" s="15" t="s">
        <v>35</v>
      </c>
      <c r="B80" s="306" t="s">
        <v>109</v>
      </c>
      <c r="C80" s="306"/>
      <c r="D80" s="15" t="s">
        <v>16</v>
      </c>
      <c r="E80" s="76">
        <f>SUM(E81:E90)</f>
        <v>0</v>
      </c>
      <c r="F80" s="76">
        <f t="shared" ref="F80:S80" si="44">SUM(F81:F90)</f>
        <v>0</v>
      </c>
      <c r="G80" s="76">
        <f t="shared" si="44"/>
        <v>8905599.3300000019</v>
      </c>
      <c r="H80" s="76">
        <f t="shared" si="44"/>
        <v>-4088595.6799999988</v>
      </c>
      <c r="I80" s="76">
        <f t="shared" si="44"/>
        <v>3934886.2100000004</v>
      </c>
      <c r="J80" s="76">
        <f t="shared" si="44"/>
        <v>4268658.2800000012</v>
      </c>
      <c r="K80" s="76">
        <f t="shared" si="44"/>
        <v>7069142.0288500078</v>
      </c>
      <c r="L80" s="76">
        <f t="shared" si="44"/>
        <v>6420793.1488499921</v>
      </c>
      <c r="M80" s="76">
        <f t="shared" si="44"/>
        <v>5155564.7388500068</v>
      </c>
      <c r="N80" s="76">
        <f t="shared" si="44"/>
        <v>2113544.3988499921</v>
      </c>
      <c r="O80" s="76">
        <f t="shared" si="44"/>
        <v>2131941.5288500031</v>
      </c>
      <c r="P80" s="76">
        <f t="shared" si="44"/>
        <v>1833112.1176499994</v>
      </c>
      <c r="Q80" s="76">
        <f t="shared" si="44"/>
        <v>1614405.2786500007</v>
      </c>
      <c r="R80" s="76">
        <f t="shared" si="44"/>
        <v>1665031.2286500009</v>
      </c>
      <c r="S80" s="76">
        <f t="shared" si="44"/>
        <v>1557426.30865</v>
      </c>
      <c r="T80" s="76">
        <f t="shared" ref="T80" si="45">SUM(T81:T90)</f>
        <v>1449822.098650001</v>
      </c>
    </row>
    <row r="81" spans="1:20" ht="14.4" customHeight="1">
      <c r="A81" s="3" t="s">
        <v>5</v>
      </c>
      <c r="B81" s="299" t="s">
        <v>34</v>
      </c>
      <c r="C81" s="299"/>
      <c r="D81" s="3" t="s">
        <v>16</v>
      </c>
      <c r="E81" s="72">
        <f t="shared" ref="E81:F81" si="46">E11</f>
        <v>0</v>
      </c>
      <c r="F81" s="72">
        <f t="shared" si="46"/>
        <v>0</v>
      </c>
      <c r="G81" s="72">
        <f>Założenia!G125</f>
        <v>3973187.74</v>
      </c>
      <c r="H81" s="72">
        <f>Założenia!H125</f>
        <v>4201288.25</v>
      </c>
      <c r="I81" s="72">
        <f t="shared" ref="I81:S81" si="47">I11</f>
        <v>4196702.08</v>
      </c>
      <c r="J81" s="72">
        <f t="shared" si="47"/>
        <v>4196702.08</v>
      </c>
      <c r="K81" s="72">
        <f t="shared" si="47"/>
        <v>9621330.2388500012</v>
      </c>
      <c r="L81" s="72">
        <f t="shared" si="47"/>
        <v>9887210.0188500006</v>
      </c>
      <c r="M81" s="72">
        <f t="shared" si="47"/>
        <v>8581646.7788500004</v>
      </c>
      <c r="N81" s="72">
        <f t="shared" si="47"/>
        <v>5550970.8988500005</v>
      </c>
      <c r="O81" s="72">
        <f t="shared" si="47"/>
        <v>5550970.8988500005</v>
      </c>
      <c r="P81" s="72">
        <f t="shared" si="47"/>
        <v>5304131.3876499999</v>
      </c>
      <c r="Q81" s="72">
        <f t="shared" si="47"/>
        <v>4995581.9986500004</v>
      </c>
      <c r="R81" s="72">
        <f t="shared" si="47"/>
        <v>4995581.9986500004</v>
      </c>
      <c r="S81" s="72">
        <f t="shared" si="47"/>
        <v>4995581.9986500004</v>
      </c>
      <c r="T81" s="72">
        <f t="shared" ref="T81" si="48">T11</f>
        <v>4995581.9986500004</v>
      </c>
    </row>
    <row r="82" spans="1:20" ht="14.4" customHeight="1">
      <c r="A82" s="3" t="s">
        <v>7</v>
      </c>
      <c r="B82" s="299" t="s">
        <v>110</v>
      </c>
      <c r="C82" s="299"/>
      <c r="D82" s="3" t="s">
        <v>16</v>
      </c>
      <c r="E82" s="72">
        <v>0</v>
      </c>
      <c r="F82" s="72">
        <v>0</v>
      </c>
      <c r="G82" s="72">
        <f>Założenia!G126</f>
        <v>851.66</v>
      </c>
      <c r="H82" s="72">
        <f>Założenia!H126</f>
        <v>700.69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</row>
    <row r="83" spans="1:20" ht="14.4" customHeight="1">
      <c r="A83" s="3" t="s">
        <v>8</v>
      </c>
      <c r="B83" s="299" t="s">
        <v>111</v>
      </c>
      <c r="C83" s="299"/>
      <c r="D83" s="3" t="s">
        <v>16</v>
      </c>
      <c r="E83" s="72">
        <v>0</v>
      </c>
      <c r="F83" s="72">
        <v>0</v>
      </c>
      <c r="G83" s="72">
        <f>Założenia!G127</f>
        <v>99164.31</v>
      </c>
      <c r="H83" s="72">
        <f>Założenia!H127</f>
        <v>-71092.25999999998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</row>
    <row r="84" spans="1:20" ht="14.4" customHeight="1">
      <c r="A84" s="3" t="s">
        <v>9</v>
      </c>
      <c r="B84" s="299" t="s">
        <v>112</v>
      </c>
      <c r="C84" s="299"/>
      <c r="D84" s="3" t="s">
        <v>16</v>
      </c>
      <c r="E84" s="72">
        <v>0</v>
      </c>
      <c r="F84" s="72">
        <v>0</v>
      </c>
      <c r="G84" s="72">
        <f>Założenia!G128</f>
        <v>-89161.69</v>
      </c>
      <c r="H84" s="72">
        <f>Założenia!H128</f>
        <v>66377.25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</row>
    <row r="85" spans="1:20" ht="14.4" customHeight="1">
      <c r="A85" s="3" t="s">
        <v>21</v>
      </c>
      <c r="B85" s="299" t="s">
        <v>113</v>
      </c>
      <c r="C85" s="299"/>
      <c r="D85" s="3" t="s">
        <v>16</v>
      </c>
      <c r="E85" s="72">
        <v>0</v>
      </c>
      <c r="F85" s="72">
        <f t="shared" ref="F85" si="49">F65-E65</f>
        <v>0</v>
      </c>
      <c r="G85" s="72">
        <f>Założenia!G129</f>
        <v>35960.300000000003</v>
      </c>
      <c r="H85" s="72">
        <f>Założenia!H129</f>
        <v>182603</v>
      </c>
      <c r="I85" s="72">
        <f>I65-H65</f>
        <v>-275362.51</v>
      </c>
      <c r="J85" s="72">
        <f t="shared" ref="J85:T85" si="50">J65-I65</f>
        <v>0</v>
      </c>
      <c r="K85" s="72">
        <f t="shared" si="50"/>
        <v>0</v>
      </c>
      <c r="L85" s="72">
        <f t="shared" si="50"/>
        <v>0</v>
      </c>
      <c r="M85" s="72">
        <f t="shared" si="50"/>
        <v>0</v>
      </c>
      <c r="N85" s="72">
        <f t="shared" si="50"/>
        <v>0</v>
      </c>
      <c r="O85" s="72">
        <f t="shared" si="50"/>
        <v>0</v>
      </c>
      <c r="P85" s="72">
        <f t="shared" si="50"/>
        <v>0</v>
      </c>
      <c r="Q85" s="72">
        <f t="shared" si="50"/>
        <v>0</v>
      </c>
      <c r="R85" s="72">
        <f t="shared" si="50"/>
        <v>0</v>
      </c>
      <c r="S85" s="72">
        <f t="shared" si="50"/>
        <v>0</v>
      </c>
      <c r="T85" s="72">
        <f t="shared" si="50"/>
        <v>0</v>
      </c>
    </row>
    <row r="86" spans="1:20" ht="14.4" customHeight="1">
      <c r="A86" s="3" t="s">
        <v>23</v>
      </c>
      <c r="B86" s="299" t="s">
        <v>114</v>
      </c>
      <c r="C86" s="299"/>
      <c r="D86" s="3" t="s">
        <v>16</v>
      </c>
      <c r="E86" s="72">
        <f>0-E47</f>
        <v>0</v>
      </c>
      <c r="F86" s="72">
        <f t="shared" ref="F86" si="51">E47-F47</f>
        <v>0</v>
      </c>
      <c r="G86" s="72">
        <f>Założenia!G130</f>
        <v>82500.039999999994</v>
      </c>
      <c r="H86" s="72">
        <f>Założenia!H130</f>
        <v>-75067.899999999965</v>
      </c>
      <c r="I86" s="72">
        <f t="shared" ref="I86" si="52">H47-I47</f>
        <v>0</v>
      </c>
      <c r="J86" s="72">
        <f t="shared" ref="J86:T86" si="53">I47-J47</f>
        <v>0</v>
      </c>
      <c r="K86" s="72">
        <f t="shared" si="53"/>
        <v>-54910.960000000021</v>
      </c>
      <c r="L86" s="72">
        <f t="shared" si="53"/>
        <v>216.78000000002794</v>
      </c>
      <c r="M86" s="72">
        <f t="shared" si="53"/>
        <v>218.95000000001164</v>
      </c>
      <c r="N86" s="72">
        <f t="shared" si="53"/>
        <v>221.14000000001397</v>
      </c>
      <c r="O86" s="72">
        <f t="shared" si="53"/>
        <v>223.34999999997672</v>
      </c>
      <c r="P86" s="72">
        <f t="shared" si="53"/>
        <v>10033.799999999988</v>
      </c>
      <c r="Q86" s="72">
        <f t="shared" si="53"/>
        <v>12488.109999999986</v>
      </c>
      <c r="R86" s="72">
        <f t="shared" si="53"/>
        <v>230.11999999999534</v>
      </c>
      <c r="S86" s="72">
        <f t="shared" si="53"/>
        <v>232.42000000004191</v>
      </c>
      <c r="T86" s="72">
        <f t="shared" si="53"/>
        <v>234.73999999999069</v>
      </c>
    </row>
    <row r="87" spans="1:20" ht="14.4" customHeight="1">
      <c r="A87" s="3" t="s">
        <v>115</v>
      </c>
      <c r="B87" s="299" t="s">
        <v>116</v>
      </c>
      <c r="C87" s="299"/>
      <c r="D87" s="3" t="s">
        <v>16</v>
      </c>
      <c r="E87" s="72">
        <f>0-E43+0-E48</f>
        <v>0</v>
      </c>
      <c r="F87" s="72">
        <f t="shared" ref="F87" si="54">E43-F43+E48-F48</f>
        <v>0</v>
      </c>
      <c r="G87" s="72">
        <f>Założenia!G131</f>
        <v>-198827.67</v>
      </c>
      <c r="H87" s="72">
        <f>Założenia!H131</f>
        <v>-110574.31999999995</v>
      </c>
      <c r="I87" s="72">
        <f t="shared" ref="I87" si="55">H43-I43+H48-I48</f>
        <v>0</v>
      </c>
      <c r="J87" s="72">
        <f t="shared" ref="J87:T87" si="56">I43-J43+I48-J48</f>
        <v>0</v>
      </c>
      <c r="K87" s="72">
        <f t="shared" si="56"/>
        <v>-585</v>
      </c>
      <c r="L87" s="72">
        <f t="shared" si="56"/>
        <v>-585</v>
      </c>
      <c r="M87" s="72">
        <f t="shared" si="56"/>
        <v>-585</v>
      </c>
      <c r="N87" s="72">
        <f t="shared" si="56"/>
        <v>-585</v>
      </c>
      <c r="O87" s="72">
        <f t="shared" si="56"/>
        <v>-585.11999999999534</v>
      </c>
      <c r="P87" s="72">
        <f t="shared" si="56"/>
        <v>0</v>
      </c>
      <c r="Q87" s="72">
        <f t="shared" si="56"/>
        <v>0</v>
      </c>
      <c r="R87" s="72">
        <f t="shared" si="56"/>
        <v>0</v>
      </c>
      <c r="S87" s="72">
        <f t="shared" si="56"/>
        <v>0</v>
      </c>
      <c r="T87" s="72">
        <f t="shared" si="56"/>
        <v>0</v>
      </c>
    </row>
    <row r="88" spans="1:20" s="316" customFormat="1" ht="23.4" customHeight="1">
      <c r="A88" s="313" t="s">
        <v>117</v>
      </c>
      <c r="B88" s="314" t="s">
        <v>118</v>
      </c>
      <c r="C88" s="314"/>
      <c r="D88" s="313" t="s">
        <v>16</v>
      </c>
      <c r="E88" s="315">
        <f>(E68-E69)</f>
        <v>0</v>
      </c>
      <c r="F88" s="315">
        <f t="shared" ref="F88" si="57">(F68-F69)-(E68-E69)</f>
        <v>0</v>
      </c>
      <c r="G88" s="315">
        <f>Założenia!G132</f>
        <v>7868352.5</v>
      </c>
      <c r="H88" s="315">
        <f>Założenia!H132</f>
        <v>-5697614.5099999998</v>
      </c>
      <c r="I88" s="315">
        <f>(I68-I69)-(H68-H69)-Wyniki_kredyty!I46</f>
        <v>-534000</v>
      </c>
      <c r="J88" s="315">
        <v>0</v>
      </c>
      <c r="K88" s="315">
        <f>Założenia!K227-Założenia!J227</f>
        <v>768753.46</v>
      </c>
      <c r="L88" s="315">
        <f>Założenia!L227-Założenia!K227</f>
        <v>-3034.9399999999441</v>
      </c>
      <c r="M88" s="315">
        <f>Założenia!M227-Założenia!L227</f>
        <v>-3065.2800000000279</v>
      </c>
      <c r="N88" s="315">
        <f>Założenia!N227-Założenia!M227</f>
        <v>-3095.9299999999348</v>
      </c>
      <c r="O88" s="315">
        <f>Założenia!O227-Założenia!N227</f>
        <v>-3126.890000000014</v>
      </c>
      <c r="P88" s="315">
        <f>Założenia!P227-Założenia!O227</f>
        <v>-140473.2300000001</v>
      </c>
      <c r="Q88" s="315">
        <f>Założenia!Q227-Założenia!P227</f>
        <v>-174833.57999999996</v>
      </c>
      <c r="R88" s="315">
        <f>Założenia!R227-Założenia!Q227</f>
        <v>-3221.640000000014</v>
      </c>
      <c r="S88" s="315">
        <f>Założenia!S227-Założenia!R227</f>
        <v>-3253.859999999986</v>
      </c>
      <c r="T88" s="315">
        <f>Założenia!T227-Założenia!S227</f>
        <v>-3286.390000000014</v>
      </c>
    </row>
    <row r="89" spans="1:20" ht="14.4" customHeight="1">
      <c r="A89" s="3" t="s">
        <v>119</v>
      </c>
      <c r="B89" s="299" t="s">
        <v>120</v>
      </c>
      <c r="C89" s="299"/>
      <c r="D89" s="3" t="s">
        <v>16</v>
      </c>
      <c r="E89" s="72">
        <f>0-E45+0-E51+E70-0</f>
        <v>0</v>
      </c>
      <c r="F89" s="72">
        <f t="shared" ref="F89" si="58">E45-F45+E51-F51+F70-E70</f>
        <v>0</v>
      </c>
      <c r="G89" s="72">
        <f>Założenia!G133</f>
        <v>-2286988.61</v>
      </c>
      <c r="H89" s="72">
        <f>Założenia!H133</f>
        <v>-2018921.9499999993</v>
      </c>
      <c r="I89" s="72">
        <f>H45-I45+H51-I51+I70-H70</f>
        <v>0</v>
      </c>
      <c r="J89" s="72">
        <f t="shared" ref="J89:T89" si="59">I45-J45+I51-J51+J70-I70</f>
        <v>40614105</v>
      </c>
      <c r="K89" s="72">
        <f t="shared" si="59"/>
        <v>-4011447.7099999934</v>
      </c>
      <c r="L89" s="72">
        <f t="shared" si="59"/>
        <v>-4011447.7100000083</v>
      </c>
      <c r="M89" s="72">
        <f t="shared" si="59"/>
        <v>-4011447.7099999934</v>
      </c>
      <c r="N89" s="72">
        <f t="shared" si="59"/>
        <v>-4011447.7100000083</v>
      </c>
      <c r="O89" s="72">
        <f t="shared" si="59"/>
        <v>-4011447.7099999972</v>
      </c>
      <c r="P89" s="72">
        <f t="shared" si="59"/>
        <v>-3828912.84</v>
      </c>
      <c r="Q89" s="72">
        <f t="shared" si="59"/>
        <v>-3600744.25</v>
      </c>
      <c r="R89" s="72">
        <f t="shared" si="59"/>
        <v>-3600744.25</v>
      </c>
      <c r="S89" s="72">
        <f t="shared" si="59"/>
        <v>-3600744.25</v>
      </c>
      <c r="T89" s="72">
        <f t="shared" si="59"/>
        <v>-3600744.25</v>
      </c>
    </row>
    <row r="90" spans="1:20" ht="14.4" customHeight="1">
      <c r="A90" s="3" t="s">
        <v>121</v>
      </c>
      <c r="B90" s="299" t="s">
        <v>122</v>
      </c>
      <c r="C90" s="299"/>
      <c r="D90" s="3" t="s">
        <v>16</v>
      </c>
      <c r="E90" s="72">
        <v>0</v>
      </c>
      <c r="F90" s="72">
        <f>F104</f>
        <v>0</v>
      </c>
      <c r="G90" s="72">
        <f>Założenia!G134</f>
        <v>-579439.25</v>
      </c>
      <c r="H90" s="72">
        <f>Założenia!H134</f>
        <v>-566293.92999999993</v>
      </c>
      <c r="I90" s="72">
        <f>I25-I88</f>
        <v>547546.64</v>
      </c>
      <c r="J90" s="72">
        <f>J25-J99</f>
        <v>-40542148.799999997</v>
      </c>
      <c r="K90" s="72">
        <f t="shared" ref="K90:T90" si="60">K25</f>
        <v>746002</v>
      </c>
      <c r="L90" s="72">
        <f t="shared" si="60"/>
        <v>548434</v>
      </c>
      <c r="M90" s="72">
        <f t="shared" si="60"/>
        <v>588797</v>
      </c>
      <c r="N90" s="72">
        <f t="shared" si="60"/>
        <v>577481</v>
      </c>
      <c r="O90" s="72">
        <f t="shared" si="60"/>
        <v>595907</v>
      </c>
      <c r="P90" s="72">
        <f t="shared" si="60"/>
        <v>488333</v>
      </c>
      <c r="Q90" s="72">
        <f t="shared" si="60"/>
        <v>381913</v>
      </c>
      <c r="R90" s="72">
        <f t="shared" si="60"/>
        <v>273185</v>
      </c>
      <c r="S90" s="72">
        <f t="shared" si="60"/>
        <v>165610</v>
      </c>
      <c r="T90" s="72">
        <f t="shared" si="60"/>
        <v>58036</v>
      </c>
    </row>
    <row r="91" spans="1:20" s="14" customFormat="1" ht="14.4" customHeight="1">
      <c r="A91" s="15" t="s">
        <v>37</v>
      </c>
      <c r="B91" s="306" t="s">
        <v>123</v>
      </c>
      <c r="C91" s="306"/>
      <c r="D91" s="15" t="s">
        <v>16</v>
      </c>
      <c r="E91" s="76">
        <f>E79+E80</f>
        <v>0</v>
      </c>
      <c r="F91" s="76">
        <f t="shared" ref="F91:S91" si="61">F79+F80</f>
        <v>0</v>
      </c>
      <c r="G91" s="76">
        <f t="shared" si="61"/>
        <v>9432418.4799999986</v>
      </c>
      <c r="H91" s="76">
        <f t="shared" si="61"/>
        <v>-3567172.5299999919</v>
      </c>
      <c r="I91" s="76">
        <f t="shared" si="61"/>
        <v>4567590.5022000019</v>
      </c>
      <c r="J91" s="76">
        <f t="shared" si="61"/>
        <v>4913612.5832220037</v>
      </c>
      <c r="K91" s="76">
        <f t="shared" si="61"/>
        <v>7878905.5476542236</v>
      </c>
      <c r="L91" s="76">
        <f t="shared" si="61"/>
        <v>7244516.3584307535</v>
      </c>
      <c r="M91" s="76">
        <f t="shared" si="61"/>
        <v>5928551.8344150735</v>
      </c>
      <c r="N91" s="76">
        <f t="shared" si="61"/>
        <v>2749558.147959209</v>
      </c>
      <c r="O91" s="76">
        <f t="shared" si="61"/>
        <v>2779832.5624388084</v>
      </c>
      <c r="P91" s="76">
        <f t="shared" si="61"/>
        <v>2484441.5097631989</v>
      </c>
      <c r="Q91" s="76">
        <f t="shared" si="61"/>
        <v>2268565.3078608345</v>
      </c>
      <c r="R91" s="76">
        <f t="shared" si="61"/>
        <v>2325935.2481394364</v>
      </c>
      <c r="S91" s="76">
        <f t="shared" si="61"/>
        <v>2225251.0629208349</v>
      </c>
      <c r="T91" s="76">
        <f t="shared" ref="T91" si="62">T79+T80</f>
        <v>2124688.5428500418</v>
      </c>
    </row>
    <row r="92" spans="1:20" ht="14.4" customHeight="1">
      <c r="A92" s="4" t="s">
        <v>31</v>
      </c>
      <c r="B92" s="10" t="s">
        <v>124</v>
      </c>
      <c r="C92" s="10"/>
      <c r="D92" s="10"/>
      <c r="E92" s="78"/>
      <c r="F92" s="78"/>
      <c r="G92" s="78"/>
      <c r="H92" s="79"/>
      <c r="I92" s="78"/>
      <c r="J92" s="78"/>
      <c r="K92" s="78"/>
      <c r="L92" s="79"/>
      <c r="M92" s="78"/>
      <c r="N92" s="78"/>
      <c r="O92" s="78"/>
      <c r="P92" s="79"/>
      <c r="Q92" s="78"/>
      <c r="R92" s="78"/>
      <c r="S92" s="78"/>
      <c r="T92" s="78"/>
    </row>
    <row r="93" spans="1:20" ht="14.4" customHeight="1">
      <c r="A93" s="3" t="s">
        <v>33</v>
      </c>
      <c r="B93" s="299" t="s">
        <v>125</v>
      </c>
      <c r="C93" s="299"/>
      <c r="D93" s="3" t="s">
        <v>16</v>
      </c>
      <c r="E93" s="72">
        <v>0</v>
      </c>
      <c r="F93" s="72">
        <v>0</v>
      </c>
      <c r="G93" s="72">
        <f>Założenia!G137</f>
        <v>91044.81</v>
      </c>
      <c r="H93" s="72">
        <f>Założenia!H137</f>
        <v>109467.91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</row>
    <row r="94" spans="1:20" ht="14.4" customHeight="1">
      <c r="A94" s="3" t="s">
        <v>35</v>
      </c>
      <c r="B94" s="299" t="s">
        <v>126</v>
      </c>
      <c r="C94" s="299"/>
      <c r="D94" s="3" t="s">
        <v>16</v>
      </c>
      <c r="E94" s="72">
        <f>E81+E41</f>
        <v>0</v>
      </c>
      <c r="F94" s="72">
        <v>0</v>
      </c>
      <c r="G94" s="72">
        <f>Założenia!G138</f>
        <v>1126410.1000000001</v>
      </c>
      <c r="H94" s="72">
        <f>Założenia!H138</f>
        <v>4707464.1499999994</v>
      </c>
      <c r="I94" s="72">
        <f>Obliczenia!I34+Obliczenia!I68</f>
        <v>261670</v>
      </c>
      <c r="J94" s="72">
        <f>Obliczenia!J34+Obliczenia!J68</f>
        <v>54660251.859999999</v>
      </c>
      <c r="K94" s="72">
        <f>Obliczenia!K34+Obliczenia!K68</f>
        <v>0</v>
      </c>
      <c r="L94" s="72">
        <f>Obliczenia!L34+Obliczenia!L68</f>
        <v>0</v>
      </c>
      <c r="M94" s="72">
        <f>Obliczenia!M34+Obliczenia!M68</f>
        <v>0</v>
      </c>
      <c r="N94" s="72">
        <f>Obliczenia!N34+Obliczenia!N68</f>
        <v>0</v>
      </c>
      <c r="O94" s="72">
        <f>Obliczenia!O34+Obliczenia!O68</f>
        <v>0</v>
      </c>
      <c r="P94" s="72">
        <f>Obliczenia!P34+Obliczenia!P68</f>
        <v>0</v>
      </c>
      <c r="Q94" s="72">
        <f>Obliczenia!Q34+Obliczenia!Q68</f>
        <v>0</v>
      </c>
      <c r="R94" s="72">
        <f>Obliczenia!R34+Obliczenia!R68</f>
        <v>0</v>
      </c>
      <c r="S94" s="72">
        <f>Obliczenia!S34+Obliczenia!S68</f>
        <v>0</v>
      </c>
      <c r="T94" s="72">
        <f>Obliczenia!T34+Obliczenia!T68</f>
        <v>0</v>
      </c>
    </row>
    <row r="95" spans="1:20" ht="14.4" customHeight="1">
      <c r="A95" s="3" t="s">
        <v>10</v>
      </c>
      <c r="B95" s="299" t="s">
        <v>76</v>
      </c>
      <c r="C95" s="299"/>
      <c r="D95" s="3" t="s">
        <v>16</v>
      </c>
      <c r="E95" s="72">
        <f>Obliczenia!E68</f>
        <v>0</v>
      </c>
      <c r="F95" s="72">
        <f>Obliczenia!F68</f>
        <v>0</v>
      </c>
      <c r="G95" s="72">
        <f>Założenia!G139</f>
        <v>0</v>
      </c>
      <c r="H95" s="72">
        <f>Założenia!H139</f>
        <v>0</v>
      </c>
      <c r="I95" s="72">
        <f>Obliczenia!I68</f>
        <v>261670</v>
      </c>
      <c r="J95" s="72">
        <f>Obliczenia!J68</f>
        <v>54660251.859999999</v>
      </c>
      <c r="K95" s="72">
        <f>Obliczenia!K68</f>
        <v>0</v>
      </c>
      <c r="L95" s="72">
        <f>Obliczenia!L68</f>
        <v>0</v>
      </c>
      <c r="M95" s="72">
        <f>Obliczenia!M68</f>
        <v>0</v>
      </c>
      <c r="N95" s="72">
        <f>Obliczenia!N68</f>
        <v>0</v>
      </c>
      <c r="O95" s="72">
        <f>Obliczenia!O68</f>
        <v>0</v>
      </c>
      <c r="P95" s="72">
        <f>Obliczenia!P68</f>
        <v>0</v>
      </c>
      <c r="Q95" s="72">
        <f>Obliczenia!Q68</f>
        <v>0</v>
      </c>
      <c r="R95" s="72">
        <f>Obliczenia!R68</f>
        <v>0</v>
      </c>
      <c r="S95" s="72">
        <f>Obliczenia!S68</f>
        <v>0</v>
      </c>
      <c r="T95" s="72">
        <f>Obliczenia!T68</f>
        <v>0</v>
      </c>
    </row>
    <row r="96" spans="1:20" s="14" customFormat="1" ht="14.4" customHeight="1">
      <c r="A96" s="15" t="s">
        <v>37</v>
      </c>
      <c r="B96" s="306" t="s">
        <v>127</v>
      </c>
      <c r="C96" s="306"/>
      <c r="D96" s="15" t="s">
        <v>16</v>
      </c>
      <c r="E96" s="76">
        <f>E93-E94</f>
        <v>0</v>
      </c>
      <c r="F96" s="76">
        <f t="shared" ref="F96:S96" si="63">F93-F94</f>
        <v>0</v>
      </c>
      <c r="G96" s="76">
        <f t="shared" si="63"/>
        <v>-1035365.29</v>
      </c>
      <c r="H96" s="76">
        <f>H93-H94</f>
        <v>-4597996.2399999993</v>
      </c>
      <c r="I96" s="76">
        <f t="shared" si="63"/>
        <v>-261670</v>
      </c>
      <c r="J96" s="76">
        <f t="shared" si="63"/>
        <v>-54660251.859999999</v>
      </c>
      <c r="K96" s="76">
        <f t="shared" si="63"/>
        <v>0</v>
      </c>
      <c r="L96" s="76">
        <f t="shared" si="63"/>
        <v>0</v>
      </c>
      <c r="M96" s="76">
        <f t="shared" si="63"/>
        <v>0</v>
      </c>
      <c r="N96" s="76">
        <f t="shared" si="63"/>
        <v>0</v>
      </c>
      <c r="O96" s="76">
        <f t="shared" si="63"/>
        <v>0</v>
      </c>
      <c r="P96" s="76">
        <f t="shared" si="63"/>
        <v>0</v>
      </c>
      <c r="Q96" s="76">
        <f t="shared" si="63"/>
        <v>0</v>
      </c>
      <c r="R96" s="76">
        <f t="shared" si="63"/>
        <v>0</v>
      </c>
      <c r="S96" s="76">
        <f t="shared" si="63"/>
        <v>0</v>
      </c>
      <c r="T96" s="76">
        <f t="shared" ref="T96" si="64">T93-T94</f>
        <v>0</v>
      </c>
    </row>
    <row r="97" spans="1:20" ht="14.4" customHeight="1">
      <c r="A97" s="4" t="s">
        <v>49</v>
      </c>
      <c r="B97" s="10" t="s">
        <v>128</v>
      </c>
      <c r="C97" s="10"/>
      <c r="D97" s="10"/>
      <c r="E97" s="78"/>
      <c r="F97" s="78"/>
      <c r="G97" s="78"/>
      <c r="H97" s="79"/>
      <c r="I97" s="78"/>
      <c r="J97" s="78"/>
      <c r="K97" s="78"/>
      <c r="L97" s="79"/>
      <c r="M97" s="78"/>
      <c r="N97" s="78"/>
      <c r="O97" s="78"/>
      <c r="P97" s="79"/>
      <c r="Q97" s="78"/>
      <c r="R97" s="78"/>
      <c r="S97" s="78"/>
      <c r="T97" s="78"/>
    </row>
    <row r="98" spans="1:20" ht="14.4" customHeight="1">
      <c r="A98" s="3" t="s">
        <v>33</v>
      </c>
      <c r="B98" s="299" t="s">
        <v>129</v>
      </c>
      <c r="C98" s="299"/>
      <c r="D98" s="3" t="s">
        <v>16</v>
      </c>
      <c r="E98" s="72">
        <f>Założenia!E142</f>
        <v>0</v>
      </c>
      <c r="F98" s="72">
        <f>Założenia!F142</f>
        <v>0</v>
      </c>
      <c r="G98" s="72">
        <f>Założenia!G142</f>
        <v>0</v>
      </c>
      <c r="H98" s="72">
        <f>Założenia!H142</f>
        <v>1767585.8599999999</v>
      </c>
      <c r="I98" s="72">
        <f>Wyniki_kredyty!I37+Obliczenia!I95+Obliczenia!I96+Obliczenia!I69</f>
        <v>0</v>
      </c>
      <c r="J98" s="72">
        <f>Wyniki_kredyty!J37+Obliczenia!J95+Obliczenia!J96+Obliczenia!J69</f>
        <v>69227507.039999992</v>
      </c>
      <c r="K98" s="72">
        <f>Wyniki_kredyty!K37+Obliczenia!K95+Obliczenia!K96</f>
        <v>0</v>
      </c>
      <c r="L98" s="72">
        <f>Wyniki_kredyty!L37+Obliczenia!L95+Obliczenia!L96</f>
        <v>0</v>
      </c>
      <c r="M98" s="72">
        <f>Wyniki_kredyty!M37+Obliczenia!M95+Obliczenia!M96</f>
        <v>0</v>
      </c>
      <c r="N98" s="72">
        <f>Wyniki_kredyty!N37+Obliczenia!N95+Obliczenia!N96</f>
        <v>0</v>
      </c>
      <c r="O98" s="72">
        <f>Wyniki_kredyty!O37+Obliczenia!O95+Obliczenia!O96</f>
        <v>0</v>
      </c>
      <c r="P98" s="72">
        <f>Wyniki_kredyty!P37+Obliczenia!P95+Obliczenia!P96</f>
        <v>0</v>
      </c>
      <c r="Q98" s="72">
        <f>Wyniki_kredyty!Q37+Obliczenia!Q95+Obliczenia!Q96</f>
        <v>0</v>
      </c>
      <c r="R98" s="72">
        <f>Wyniki_kredyty!R37+Obliczenia!R95+Obliczenia!R96</f>
        <v>0</v>
      </c>
      <c r="S98" s="72">
        <f>Wyniki_kredyty!S37+Obliczenia!S95+Obliczenia!S96</f>
        <v>0</v>
      </c>
      <c r="T98" s="72">
        <f>Wyniki_kredyty!T37+Obliczenia!T95+Obliczenia!T96</f>
        <v>0</v>
      </c>
    </row>
    <row r="99" spans="1:20" ht="14.4" customHeight="1">
      <c r="A99" s="3" t="s">
        <v>10</v>
      </c>
      <c r="B99" s="299" t="str">
        <f>Założenia!B143</f>
        <v>- z tytułu wnioskowanej dotacji</v>
      </c>
      <c r="C99" s="299"/>
      <c r="D99" s="3" t="s">
        <v>16</v>
      </c>
      <c r="E99" s="72">
        <f>Założenia!E143</f>
        <v>0</v>
      </c>
      <c r="F99" s="72">
        <f>Wyniki_kredyty!F28</f>
        <v>0</v>
      </c>
      <c r="G99" s="72">
        <f>Założenia!G143</f>
        <v>0</v>
      </c>
      <c r="H99" s="72">
        <f>Założenia!H143</f>
        <v>0</v>
      </c>
      <c r="I99" s="72">
        <f>Obliczenia!I69</f>
        <v>0</v>
      </c>
      <c r="J99" s="72">
        <f>Obliczenia!J69</f>
        <v>40614105</v>
      </c>
      <c r="K99" s="72">
        <f>Obliczenia!K69</f>
        <v>0</v>
      </c>
      <c r="L99" s="72">
        <f>Obliczenia!L69</f>
        <v>0</v>
      </c>
      <c r="M99" s="72">
        <f>Obliczenia!M69</f>
        <v>0</v>
      </c>
      <c r="N99" s="72">
        <f>Obliczenia!N69</f>
        <v>0</v>
      </c>
      <c r="O99" s="72">
        <f>Obliczenia!O69</f>
        <v>0</v>
      </c>
      <c r="P99" s="72">
        <f>Obliczenia!P69</f>
        <v>0</v>
      </c>
      <c r="Q99" s="72">
        <f>Obliczenia!Q69</f>
        <v>0</v>
      </c>
      <c r="R99" s="72">
        <f>Obliczenia!R69</f>
        <v>0</v>
      </c>
      <c r="S99" s="72">
        <f>Obliczenia!S69</f>
        <v>0</v>
      </c>
      <c r="T99" s="72">
        <f>Obliczenia!T69</f>
        <v>0</v>
      </c>
    </row>
    <row r="100" spans="1:20" ht="14.4" customHeight="1">
      <c r="A100" s="151"/>
      <c r="B100" s="299" t="str">
        <f>Założenia!B144</f>
        <v>- z tytułu wnioskowanego kredytu</v>
      </c>
      <c r="C100" s="299"/>
      <c r="D100" s="151" t="s">
        <v>16</v>
      </c>
      <c r="E100" s="72">
        <f>Założenia!E144</f>
        <v>0</v>
      </c>
      <c r="F100" s="72">
        <f>Założenia!F144</f>
        <v>0</v>
      </c>
      <c r="G100" s="72">
        <f>Założenia!G144</f>
        <v>0</v>
      </c>
      <c r="H100" s="72">
        <f>Założenia!H144</f>
        <v>0</v>
      </c>
      <c r="I100" s="72">
        <f>Wyniki_kredyty!I28+Wyniki_kredyty!I18</f>
        <v>0</v>
      </c>
      <c r="J100" s="72">
        <f>Wyniki_kredyty!J28+Wyniki_kredyty!J18</f>
        <v>28613402.039999999</v>
      </c>
      <c r="K100" s="72">
        <f>Wyniki_kredyty!K28+Wyniki_kredyty!K18</f>
        <v>0</v>
      </c>
      <c r="L100" s="72">
        <f>Wyniki_kredyty!L28+Wyniki_kredyty!L18</f>
        <v>0</v>
      </c>
      <c r="M100" s="72">
        <f>Wyniki_kredyty!M28+Wyniki_kredyty!M18</f>
        <v>0</v>
      </c>
      <c r="N100" s="72">
        <f>Wyniki_kredyty!N28+Wyniki_kredyty!N18</f>
        <v>0</v>
      </c>
      <c r="O100" s="72">
        <f>Wyniki_kredyty!O28+Wyniki_kredyty!O18</f>
        <v>0</v>
      </c>
      <c r="P100" s="72">
        <f>Wyniki_kredyty!P28+Wyniki_kredyty!P18</f>
        <v>0</v>
      </c>
      <c r="Q100" s="72">
        <f>Wyniki_kredyty!Q28+Wyniki_kredyty!Q18</f>
        <v>0</v>
      </c>
      <c r="R100" s="72">
        <f>Wyniki_kredyty!R28+Wyniki_kredyty!R18</f>
        <v>0</v>
      </c>
      <c r="S100" s="72">
        <f>Wyniki_kredyty!S28+Wyniki_kredyty!S18</f>
        <v>0</v>
      </c>
      <c r="T100" s="72">
        <f>Wyniki_kredyty!T28+Wyniki_kredyty!T18</f>
        <v>0</v>
      </c>
    </row>
    <row r="101" spans="1:20" ht="14.4" customHeight="1">
      <c r="A101" s="3" t="s">
        <v>35</v>
      </c>
      <c r="B101" s="299" t="s">
        <v>130</v>
      </c>
      <c r="C101" s="299"/>
      <c r="D101" s="3" t="s">
        <v>16</v>
      </c>
      <c r="E101" s="72">
        <f>Założenia!E145</f>
        <v>0</v>
      </c>
      <c r="F101" s="72">
        <f>F102+F104</f>
        <v>0</v>
      </c>
      <c r="G101" s="72">
        <f>Założenia!G145</f>
        <v>1409551.4</v>
      </c>
      <c r="H101" s="72">
        <f>Założenia!H145</f>
        <v>846617.44</v>
      </c>
      <c r="I101" s="72">
        <f t="shared" ref="I101:T101" si="65">I102+I104</f>
        <v>547546.64</v>
      </c>
      <c r="J101" s="72">
        <f t="shared" si="65"/>
        <v>10161312.239999998</v>
      </c>
      <c r="K101" s="72">
        <f t="shared" si="65"/>
        <v>7374438.3099999996</v>
      </c>
      <c r="L101" s="72">
        <f t="shared" si="65"/>
        <v>2154018.5199999996</v>
      </c>
      <c r="M101" s="72">
        <f t="shared" si="65"/>
        <v>2194381.5199999996</v>
      </c>
      <c r="N101" s="72">
        <f t="shared" si="65"/>
        <v>2183065.5199999996</v>
      </c>
      <c r="O101" s="72">
        <f t="shared" si="65"/>
        <v>2201491.5199999996</v>
      </c>
      <c r="P101" s="72">
        <f t="shared" si="65"/>
        <v>2093917.5199999998</v>
      </c>
      <c r="Q101" s="72">
        <f t="shared" si="65"/>
        <v>1987497.5199999998</v>
      </c>
      <c r="R101" s="72">
        <f t="shared" si="65"/>
        <v>1878769.5199999998</v>
      </c>
      <c r="S101" s="72">
        <f t="shared" si="65"/>
        <v>1771194.5199999998</v>
      </c>
      <c r="T101" s="72">
        <f t="shared" si="65"/>
        <v>1663620.3599999503</v>
      </c>
    </row>
    <row r="102" spans="1:20" ht="14.4" customHeight="1">
      <c r="A102" s="3" t="s">
        <v>10</v>
      </c>
      <c r="B102" s="299" t="s">
        <v>131</v>
      </c>
      <c r="C102" s="299"/>
      <c r="D102" s="3" t="s">
        <v>16</v>
      </c>
      <c r="E102" s="72">
        <f>Założenia!E146</f>
        <v>0</v>
      </c>
      <c r="F102" s="72">
        <f>Wyniki_kredyty!F39</f>
        <v>0</v>
      </c>
      <c r="G102" s="72">
        <f>Założenia!G146</f>
        <v>833038.35</v>
      </c>
      <c r="H102" s="72">
        <f>Założenia!H146</f>
        <v>401810.5</v>
      </c>
      <c r="I102" s="72">
        <f>Wyniki_kredyty!I39</f>
        <v>534000</v>
      </c>
      <c r="J102" s="72">
        <f>Wyniki_kredyty!J39</f>
        <v>10089356.039999999</v>
      </c>
      <c r="K102" s="72">
        <f>Wyniki_kredyty!K39</f>
        <v>6628436.3099999996</v>
      </c>
      <c r="L102" s="72">
        <f>Wyniki_kredyty!L39</f>
        <v>1605584.5199999998</v>
      </c>
      <c r="M102" s="72">
        <f>Wyniki_kredyty!M39</f>
        <v>1605584.5199999998</v>
      </c>
      <c r="N102" s="72">
        <f>Wyniki_kredyty!N39</f>
        <v>1605584.5199999998</v>
      </c>
      <c r="O102" s="72">
        <f>Wyniki_kredyty!O39</f>
        <v>1605584.5199999998</v>
      </c>
      <c r="P102" s="72">
        <f>Wyniki_kredyty!P39</f>
        <v>1605584.5199999998</v>
      </c>
      <c r="Q102" s="72">
        <f>Wyniki_kredyty!Q39</f>
        <v>1605584.5199999998</v>
      </c>
      <c r="R102" s="72">
        <f>Wyniki_kredyty!R39</f>
        <v>1605584.5199999998</v>
      </c>
      <c r="S102" s="72">
        <f>Wyniki_kredyty!S39</f>
        <v>1605584.5199999998</v>
      </c>
      <c r="T102" s="72">
        <f>Wyniki_kredyty!T39</f>
        <v>1605584.3599999503</v>
      </c>
    </row>
    <row r="103" spans="1:20" ht="14.4" customHeight="1">
      <c r="A103" s="3" t="s">
        <v>10</v>
      </c>
      <c r="B103" s="299" t="str">
        <f>Założenia!B147</f>
        <v>- z tytułu wnioskowanego kredytu</v>
      </c>
      <c r="C103" s="299"/>
      <c r="D103" s="3" t="s">
        <v>16</v>
      </c>
      <c r="E103" s="72">
        <f>Założenia!E147</f>
        <v>0</v>
      </c>
      <c r="F103" s="72">
        <f>Obliczenia!F102</f>
        <v>0</v>
      </c>
      <c r="G103" s="72">
        <f>Założenia!G147</f>
        <v>0</v>
      </c>
      <c r="H103" s="72">
        <f>Założenia!H147</f>
        <v>0</v>
      </c>
      <c r="I103" s="72">
        <f>Wyniki_kredyty!I39-Wyniki_kredyty!I9</f>
        <v>0</v>
      </c>
      <c r="J103" s="72">
        <f>Wyniki_kredyty!J39-Wyniki_kredyty!J9</f>
        <v>8705632</v>
      </c>
      <c r="K103" s="72">
        <f>Wyniki_kredyty!K39-Wyniki_kredyty!K9</f>
        <v>5457509.5199999996</v>
      </c>
      <c r="L103" s="72">
        <f>Wyniki_kredyty!L39-Wyniki_kredyty!L9</f>
        <v>1605584.5199999998</v>
      </c>
      <c r="M103" s="72">
        <f>Wyniki_kredyty!M39-Wyniki_kredyty!M9</f>
        <v>1605584.5199999998</v>
      </c>
      <c r="N103" s="72">
        <f>Wyniki_kredyty!N39-Wyniki_kredyty!N9</f>
        <v>1605584.5199999998</v>
      </c>
      <c r="O103" s="72">
        <f>Wyniki_kredyty!O39-Wyniki_kredyty!O9</f>
        <v>1605584.5199999998</v>
      </c>
      <c r="P103" s="72">
        <f>Wyniki_kredyty!P39-Wyniki_kredyty!P9</f>
        <v>1605584.5199999998</v>
      </c>
      <c r="Q103" s="72">
        <f>Wyniki_kredyty!Q39-Wyniki_kredyty!Q9</f>
        <v>1605584.5199999998</v>
      </c>
      <c r="R103" s="72">
        <f>Wyniki_kredyty!R39-Wyniki_kredyty!R9</f>
        <v>1605584.5199999998</v>
      </c>
      <c r="S103" s="72">
        <f>Wyniki_kredyty!S39-Wyniki_kredyty!S9</f>
        <v>1605584.5199999998</v>
      </c>
      <c r="T103" s="72">
        <f>Wyniki_kredyty!T39-Wyniki_kredyty!T9</f>
        <v>1605584.3599999503</v>
      </c>
    </row>
    <row r="104" spans="1:20" ht="14.4" customHeight="1">
      <c r="A104" s="3" t="s">
        <v>10</v>
      </c>
      <c r="B104" s="299" t="s">
        <v>132</v>
      </c>
      <c r="C104" s="299"/>
      <c r="D104" s="3" t="s">
        <v>16</v>
      </c>
      <c r="E104" s="72">
        <f>Założenia!E148</f>
        <v>0</v>
      </c>
      <c r="F104" s="72">
        <f>Wyniki_kredyty!F41</f>
        <v>0</v>
      </c>
      <c r="G104" s="72">
        <f>Założenia!G148</f>
        <v>99164.31</v>
      </c>
      <c r="H104" s="72">
        <f>Założenia!H148</f>
        <v>71092.25999999998</v>
      </c>
      <c r="I104" s="72">
        <f>Wyniki_kredyty!I41</f>
        <v>13546.64</v>
      </c>
      <c r="J104" s="72">
        <f>Wyniki_kredyty!J41</f>
        <v>71956.2</v>
      </c>
      <c r="K104" s="72">
        <f>Wyniki_kredyty!K41</f>
        <v>746002</v>
      </c>
      <c r="L104" s="72">
        <f>Wyniki_kredyty!L41</f>
        <v>548434</v>
      </c>
      <c r="M104" s="72">
        <f>Wyniki_kredyty!M41</f>
        <v>588797</v>
      </c>
      <c r="N104" s="72">
        <f>Wyniki_kredyty!N41</f>
        <v>577481</v>
      </c>
      <c r="O104" s="72">
        <f>Wyniki_kredyty!O41</f>
        <v>595907</v>
      </c>
      <c r="P104" s="72">
        <f>Wyniki_kredyty!P41</f>
        <v>488333</v>
      </c>
      <c r="Q104" s="72">
        <f>Wyniki_kredyty!Q41</f>
        <v>381913</v>
      </c>
      <c r="R104" s="72">
        <f>Wyniki_kredyty!R41</f>
        <v>273185</v>
      </c>
      <c r="S104" s="72">
        <f>Wyniki_kredyty!S41</f>
        <v>165610</v>
      </c>
      <c r="T104" s="72">
        <f>Wyniki_kredyty!T41</f>
        <v>58036</v>
      </c>
    </row>
    <row r="105" spans="1:20" ht="14.4" customHeight="1">
      <c r="A105" s="3" t="s">
        <v>10</v>
      </c>
      <c r="B105" s="300" t="s">
        <v>320</v>
      </c>
      <c r="C105" s="299"/>
      <c r="D105" s="3" t="s">
        <v>16</v>
      </c>
      <c r="E105" s="72">
        <f>Założenia!E149</f>
        <v>0</v>
      </c>
      <c r="F105" s="72">
        <f>Obliczenia!F101</f>
        <v>0</v>
      </c>
      <c r="G105" s="72">
        <f>Założenia!G149</f>
        <v>0</v>
      </c>
      <c r="H105" s="72">
        <f>Założenia!H149</f>
        <v>0</v>
      </c>
      <c r="I105" s="72">
        <f>Obliczenia!I101</f>
        <v>0</v>
      </c>
      <c r="J105" s="72">
        <f>Obliczenia!J101</f>
        <v>0</v>
      </c>
      <c r="K105" s="72">
        <f>Obliczenia!K101</f>
        <v>732323</v>
      </c>
      <c r="L105" s="72">
        <f>Obliczenia!L101</f>
        <v>548434</v>
      </c>
      <c r="M105" s="72">
        <f>Obliczenia!M101</f>
        <v>588797</v>
      </c>
      <c r="N105" s="72">
        <f>Obliczenia!N101</f>
        <v>577481</v>
      </c>
      <c r="O105" s="72">
        <f>Obliczenia!O101</f>
        <v>595907</v>
      </c>
      <c r="P105" s="72">
        <f>Obliczenia!P101</f>
        <v>488333</v>
      </c>
      <c r="Q105" s="72">
        <f>Obliczenia!Q101</f>
        <v>381913</v>
      </c>
      <c r="R105" s="72">
        <f>Obliczenia!R101</f>
        <v>273185</v>
      </c>
      <c r="S105" s="72">
        <f>Obliczenia!S101</f>
        <v>165610</v>
      </c>
      <c r="T105" s="72">
        <f>Obliczenia!T101</f>
        <v>58036</v>
      </c>
    </row>
    <row r="106" spans="1:20" s="14" customFormat="1" ht="24" customHeight="1">
      <c r="A106" s="15" t="s">
        <v>37</v>
      </c>
      <c r="B106" s="306" t="s">
        <v>133</v>
      </c>
      <c r="C106" s="306"/>
      <c r="D106" s="15" t="s">
        <v>16</v>
      </c>
      <c r="E106" s="76">
        <f t="shared" ref="E106:T106" si="66">E98-E101</f>
        <v>0</v>
      </c>
      <c r="F106" s="76">
        <f t="shared" si="66"/>
        <v>0</v>
      </c>
      <c r="G106" s="76">
        <f t="shared" si="66"/>
        <v>-1409551.4</v>
      </c>
      <c r="H106" s="76">
        <f t="shared" si="66"/>
        <v>920968.41999999993</v>
      </c>
      <c r="I106" s="76">
        <f t="shared" si="66"/>
        <v>-547546.64</v>
      </c>
      <c r="J106" s="76">
        <f t="shared" si="66"/>
        <v>59066194.799999997</v>
      </c>
      <c r="K106" s="76">
        <f t="shared" si="66"/>
        <v>-7374438.3099999996</v>
      </c>
      <c r="L106" s="76">
        <f t="shared" si="66"/>
        <v>-2154018.5199999996</v>
      </c>
      <c r="M106" s="76">
        <f t="shared" si="66"/>
        <v>-2194381.5199999996</v>
      </c>
      <c r="N106" s="76">
        <f t="shared" si="66"/>
        <v>-2183065.5199999996</v>
      </c>
      <c r="O106" s="76">
        <f t="shared" si="66"/>
        <v>-2201491.5199999996</v>
      </c>
      <c r="P106" s="76">
        <f t="shared" si="66"/>
        <v>-2093917.5199999998</v>
      </c>
      <c r="Q106" s="76">
        <f t="shared" si="66"/>
        <v>-1987497.5199999998</v>
      </c>
      <c r="R106" s="76">
        <f t="shared" si="66"/>
        <v>-1878769.5199999998</v>
      </c>
      <c r="S106" s="76">
        <f t="shared" si="66"/>
        <v>-1771194.5199999998</v>
      </c>
      <c r="T106" s="76">
        <f t="shared" si="66"/>
        <v>-1663620.3599999503</v>
      </c>
    </row>
    <row r="107" spans="1:20" s="14" customFormat="1" ht="14.4" customHeight="1">
      <c r="A107" s="15" t="s">
        <v>51</v>
      </c>
      <c r="B107" s="306" t="s">
        <v>134</v>
      </c>
      <c r="C107" s="306"/>
      <c r="D107" s="15" t="s">
        <v>16</v>
      </c>
      <c r="E107" s="76">
        <f t="shared" ref="E107:T107" si="67">E91+E96+E106</f>
        <v>0</v>
      </c>
      <c r="F107" s="76">
        <f t="shared" si="67"/>
        <v>0</v>
      </c>
      <c r="G107" s="76">
        <f t="shared" si="67"/>
        <v>6987501.7899999972</v>
      </c>
      <c r="H107" s="76">
        <f t="shared" si="67"/>
        <v>-7244200.3499999912</v>
      </c>
      <c r="I107" s="76">
        <f t="shared" si="67"/>
        <v>3758373.8622000017</v>
      </c>
      <c r="J107" s="76">
        <f t="shared" si="67"/>
        <v>9319555.5232219994</v>
      </c>
      <c r="K107" s="76">
        <f t="shared" si="67"/>
        <v>504467.23765422404</v>
      </c>
      <c r="L107" s="76">
        <f t="shared" si="67"/>
        <v>5090497.8384307539</v>
      </c>
      <c r="M107" s="76">
        <f t="shared" si="67"/>
        <v>3734170.314415074</v>
      </c>
      <c r="N107" s="76">
        <f t="shared" si="67"/>
        <v>566492.62795920949</v>
      </c>
      <c r="O107" s="76">
        <f t="shared" si="67"/>
        <v>578341.04243880883</v>
      </c>
      <c r="P107" s="76">
        <f t="shared" si="67"/>
        <v>390523.98976319912</v>
      </c>
      <c r="Q107" s="76">
        <f t="shared" si="67"/>
        <v>281067.78786083474</v>
      </c>
      <c r="R107" s="76">
        <f t="shared" si="67"/>
        <v>447165.72813943657</v>
      </c>
      <c r="S107" s="76">
        <f t="shared" si="67"/>
        <v>454056.54292083508</v>
      </c>
      <c r="T107" s="76">
        <f t="shared" si="67"/>
        <v>461068.18285009149</v>
      </c>
    </row>
    <row r="108" spans="1:20" ht="14.4" customHeight="1">
      <c r="A108" s="3" t="s">
        <v>53</v>
      </c>
      <c r="B108" s="299" t="s">
        <v>135</v>
      </c>
      <c r="C108" s="299"/>
      <c r="D108" s="3" t="s">
        <v>16</v>
      </c>
      <c r="E108" s="72">
        <f>Założenia!E152</f>
        <v>0</v>
      </c>
      <c r="F108" s="72">
        <f>Założenia!F152</f>
        <v>0</v>
      </c>
      <c r="G108" s="72">
        <f>Założenia!G152</f>
        <v>6987501.7899999972</v>
      </c>
      <c r="H108" s="72">
        <f>Założenia!H152</f>
        <v>-7244200.3499999996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</row>
    <row r="109" spans="1:20" ht="14.4" customHeight="1">
      <c r="A109" s="3" t="s">
        <v>55</v>
      </c>
      <c r="B109" s="299" t="s">
        <v>136</v>
      </c>
      <c r="C109" s="299"/>
      <c r="D109" s="3" t="s">
        <v>16</v>
      </c>
      <c r="E109" s="72">
        <v>0</v>
      </c>
      <c r="F109" s="72">
        <f t="shared" ref="F109" si="68">E110</f>
        <v>0</v>
      </c>
      <c r="G109" s="72">
        <f>Założenia!G153</f>
        <v>2571114.31</v>
      </c>
      <c r="H109" s="72">
        <f>Założenia!H153</f>
        <v>9558616.0999999996</v>
      </c>
      <c r="I109" s="72">
        <f t="shared" ref="I109:T109" si="69">H110</f>
        <v>2314415.7500000084</v>
      </c>
      <c r="J109" s="72">
        <f t="shared" si="69"/>
        <v>6072789.6122000106</v>
      </c>
      <c r="K109" s="72">
        <f t="shared" si="69"/>
        <v>15392345.13542201</v>
      </c>
      <c r="L109" s="72">
        <f t="shared" si="69"/>
        <v>15896812.373076234</v>
      </c>
      <c r="M109" s="72">
        <f t="shared" si="69"/>
        <v>20987310.211506989</v>
      </c>
      <c r="N109" s="72">
        <f t="shared" si="69"/>
        <v>24721480.525922064</v>
      </c>
      <c r="O109" s="72">
        <f t="shared" si="69"/>
        <v>25287973.153881274</v>
      </c>
      <c r="P109" s="72">
        <f t="shared" si="69"/>
        <v>25866314.196320083</v>
      </c>
      <c r="Q109" s="72">
        <f t="shared" si="69"/>
        <v>26256838.186083283</v>
      </c>
      <c r="R109" s="72">
        <f t="shared" si="69"/>
        <v>26537905.973944116</v>
      </c>
      <c r="S109" s="72">
        <f t="shared" si="69"/>
        <v>26985071.702083554</v>
      </c>
      <c r="T109" s="72">
        <f t="shared" si="69"/>
        <v>27439128.245004389</v>
      </c>
    </row>
    <row r="110" spans="1:20" s="14" customFormat="1" ht="14.4" customHeight="1">
      <c r="A110" s="15" t="s">
        <v>57</v>
      </c>
      <c r="B110" s="306" t="s">
        <v>137</v>
      </c>
      <c r="C110" s="306"/>
      <c r="D110" s="15" t="s">
        <v>16</v>
      </c>
      <c r="E110" s="76">
        <f>E107+E109</f>
        <v>0</v>
      </c>
      <c r="F110" s="76">
        <f t="shared" ref="F110:T110" si="70">F107+F109</f>
        <v>0</v>
      </c>
      <c r="G110" s="76">
        <f t="shared" si="70"/>
        <v>9558616.0999999978</v>
      </c>
      <c r="H110" s="76">
        <f t="shared" si="70"/>
        <v>2314415.7500000084</v>
      </c>
      <c r="I110" s="76">
        <f t="shared" si="70"/>
        <v>6072789.6122000106</v>
      </c>
      <c r="J110" s="76">
        <f t="shared" si="70"/>
        <v>15392345.13542201</v>
      </c>
      <c r="K110" s="76">
        <f t="shared" si="70"/>
        <v>15896812.373076234</v>
      </c>
      <c r="L110" s="76">
        <f t="shared" si="70"/>
        <v>20987310.211506989</v>
      </c>
      <c r="M110" s="76">
        <f t="shared" si="70"/>
        <v>24721480.525922064</v>
      </c>
      <c r="N110" s="76">
        <f t="shared" si="70"/>
        <v>25287973.153881274</v>
      </c>
      <c r="O110" s="76">
        <f t="shared" si="70"/>
        <v>25866314.196320083</v>
      </c>
      <c r="P110" s="76">
        <f t="shared" si="70"/>
        <v>26256838.186083283</v>
      </c>
      <c r="Q110" s="76">
        <f t="shared" si="70"/>
        <v>26537905.973944116</v>
      </c>
      <c r="R110" s="76">
        <f t="shared" si="70"/>
        <v>26985071.702083554</v>
      </c>
      <c r="S110" s="76">
        <f t="shared" si="70"/>
        <v>27439128.245004389</v>
      </c>
      <c r="T110" s="76">
        <f t="shared" si="70"/>
        <v>27900196.427854482</v>
      </c>
    </row>
    <row r="111" spans="1:20">
      <c r="E111" s="93"/>
      <c r="F111" s="93"/>
      <c r="G111" s="93"/>
      <c r="H111" s="93"/>
    </row>
    <row r="112" spans="1:20">
      <c r="E112" s="93"/>
      <c r="F112" s="93"/>
      <c r="G112" s="93"/>
      <c r="H112" s="93"/>
    </row>
  </sheetData>
  <mergeCells count="98">
    <mergeCell ref="B98:C98"/>
    <mergeCell ref="B99:C99"/>
    <mergeCell ref="B101:C101"/>
    <mergeCell ref="B102:C102"/>
    <mergeCell ref="B103:C103"/>
    <mergeCell ref="B100:C100"/>
    <mergeCell ref="B110:C110"/>
    <mergeCell ref="B104:C104"/>
    <mergeCell ref="B105:C105"/>
    <mergeCell ref="B106:C106"/>
    <mergeCell ref="B107:C107"/>
    <mergeCell ref="B108:C108"/>
    <mergeCell ref="B109:C109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1:C91"/>
    <mergeCell ref="B93:C93"/>
    <mergeCell ref="B94:C94"/>
    <mergeCell ref="B95:C95"/>
    <mergeCell ref="B96:C96"/>
    <mergeCell ref="B59:C59"/>
    <mergeCell ref="B72:C72"/>
    <mergeCell ref="B70:C70"/>
    <mergeCell ref="B71:C71"/>
    <mergeCell ref="B41:C41"/>
    <mergeCell ref="B48:C48"/>
    <mergeCell ref="B49:C49"/>
    <mergeCell ref="B53:C53"/>
    <mergeCell ref="B42:C42"/>
    <mergeCell ref="B43:C43"/>
    <mergeCell ref="B44:C44"/>
    <mergeCell ref="B54:C54"/>
    <mergeCell ref="B55:C55"/>
    <mergeCell ref="B56:C56"/>
    <mergeCell ref="B57:C57"/>
    <mergeCell ref="B58:C58"/>
    <mergeCell ref="B76:C76"/>
    <mergeCell ref="B77:C77"/>
    <mergeCell ref="B63:C63"/>
    <mergeCell ref="B64:C64"/>
    <mergeCell ref="B65:C65"/>
    <mergeCell ref="B66:C66"/>
    <mergeCell ref="B67:C67"/>
    <mergeCell ref="B68:C68"/>
    <mergeCell ref="B69:C69"/>
    <mergeCell ref="B50:C50"/>
    <mergeCell ref="B51:C51"/>
    <mergeCell ref="B52:C52"/>
    <mergeCell ref="B29:C29"/>
    <mergeCell ref="B18:C18"/>
    <mergeCell ref="B19:C19"/>
    <mergeCell ref="B20:C20"/>
    <mergeCell ref="B21:C21"/>
    <mergeCell ref="B22:C22"/>
    <mergeCell ref="B36:C36"/>
    <mergeCell ref="B37:C37"/>
    <mergeCell ref="B38:C38"/>
    <mergeCell ref="B45:C45"/>
    <mergeCell ref="B46:C46"/>
    <mergeCell ref="B47:C47"/>
    <mergeCell ref="B39:C39"/>
    <mergeCell ref="B60:C60"/>
    <mergeCell ref="B61:C61"/>
    <mergeCell ref="B62:C62"/>
    <mergeCell ref="B3:C3"/>
    <mergeCell ref="B4:C4"/>
    <mergeCell ref="B5:C5"/>
    <mergeCell ref="B10:C10"/>
    <mergeCell ref="B11:C11"/>
    <mergeCell ref="B27:C27"/>
    <mergeCell ref="B28:C28"/>
    <mergeCell ref="B30:C30"/>
    <mergeCell ref="B31:C31"/>
    <mergeCell ref="B32:C32"/>
    <mergeCell ref="B6:C6"/>
    <mergeCell ref="B8:C8"/>
    <mergeCell ref="B9:C9"/>
    <mergeCell ref="B40:C40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</mergeCells>
  <conditionalFormatting sqref="E73:T73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Założenia</vt:lpstr>
      <vt:lpstr>Obliczenia</vt:lpstr>
      <vt:lpstr>Założenia_kredyty</vt:lpstr>
      <vt:lpstr>Obliczenia_kredyty</vt:lpstr>
      <vt:lpstr>Wyniki_kredyty</vt:lpstr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DK</cp:lastModifiedBy>
  <cp:lastPrinted>2017-03-22T12:22:57Z</cp:lastPrinted>
  <dcterms:created xsi:type="dcterms:W3CDTF">2014-07-07T11:06:00Z</dcterms:created>
  <dcterms:modified xsi:type="dcterms:W3CDTF">2017-04-13T07:30:15Z</dcterms:modified>
</cp:coreProperties>
</file>